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0" tabRatio="351" activeTab="0"/>
  </bookViews>
  <sheets>
    <sheet name="1.str - skutečnost a rozpočet" sheetId="1" r:id="rId1"/>
    <sheet name="2.str - sbírky " sheetId="2" r:id="rId2"/>
  </sheets>
  <definedNames>
    <definedName name="Excel_BuiltIn_Print_Area_1_1">'1.str - skutečnost a rozpočet'!$A$1:$D$46</definedName>
    <definedName name="Excel_BuiltIn_Print_Area_1_1_1">'1.str - skutečnost a rozpočet'!$A$1:$D$711</definedName>
    <definedName name="Excel_BuiltIn_Print_Area_2">"$#REF!.$A$1:$F$78"</definedName>
    <definedName name="_xlnm.Print_Area" localSheetId="0">'1.str - skutečnost a rozpočet'!$A$1:$N$71</definedName>
  </definedNames>
  <calcPr fullCalcOnLoad="1"/>
</workbook>
</file>

<file path=xl/sharedStrings.xml><?xml version="1.0" encoding="utf-8"?>
<sst xmlns="http://schemas.openxmlformats.org/spreadsheetml/2006/main" count="170" uniqueCount="159">
  <si>
    <t>Farní sbor ČCE:</t>
  </si>
  <si>
    <t>Evidenční číslo sboru:</t>
  </si>
  <si>
    <t>Seniorát:</t>
  </si>
  <si>
    <t xml:space="preserve">Číslo bank. účtu: </t>
  </si>
  <si>
    <t>Č.</t>
  </si>
  <si>
    <t>Ukazatel</t>
  </si>
  <si>
    <t>účet</t>
  </si>
  <si>
    <t>Spotřební a kancel. materiál, zboží</t>
  </si>
  <si>
    <t>Spotřeba energie</t>
  </si>
  <si>
    <t>Prodané zboží</t>
  </si>
  <si>
    <t>Běžná údržba</t>
  </si>
  <si>
    <t>Cestovné</t>
  </si>
  <si>
    <t>Prezentace - dary křesť.služby a sbor.pohošt.</t>
  </si>
  <si>
    <t>Telekomunikace</t>
  </si>
  <si>
    <t>Placené nájemné</t>
  </si>
  <si>
    <t>Spotřeba ostatních služeb</t>
  </si>
  <si>
    <t>Mzdové náklady vč. pojištění</t>
  </si>
  <si>
    <t xml:space="preserve"> 521,524,525,527,528</t>
  </si>
  <si>
    <t>Daně a poplatky</t>
  </si>
  <si>
    <t>531,532,538</t>
  </si>
  <si>
    <t>Poskytnuté dary</t>
  </si>
  <si>
    <t>Odvod repartic seniorátních</t>
  </si>
  <si>
    <t>Odvod repartic celocírkevních</t>
  </si>
  <si>
    <t>Odvod do PF</t>
  </si>
  <si>
    <t>Odvod do PF administrátora</t>
  </si>
  <si>
    <t>Odvod za pastoračního pracovníka</t>
  </si>
  <si>
    <t>Odpisy, prodaný majetek</t>
  </si>
  <si>
    <t>551-559</t>
  </si>
  <si>
    <t>Ostatní náklady</t>
  </si>
  <si>
    <t>541-549 (kromě546)</t>
  </si>
  <si>
    <t>Daň z příjmu</t>
  </si>
  <si>
    <t xml:space="preserve">Náklady celkem </t>
  </si>
  <si>
    <t>ÚT5</t>
  </si>
  <si>
    <t>Sborové sbírky</t>
  </si>
  <si>
    <t>Dary tuzemské</t>
  </si>
  <si>
    <t>Dary zahraniční</t>
  </si>
  <si>
    <t>Salár</t>
  </si>
  <si>
    <t>Příjmy z hosp. činnosti</t>
  </si>
  <si>
    <t>601-604</t>
  </si>
  <si>
    <t>Ostatní sbor. příjmy</t>
  </si>
  <si>
    <t>641-649</t>
  </si>
  <si>
    <t>Tržby z prodeje majetku</t>
  </si>
  <si>
    <t>652-659</t>
  </si>
  <si>
    <t>Přijaté příspěvky</t>
  </si>
  <si>
    <t xml:space="preserve">Provozní dotace </t>
  </si>
  <si>
    <t>Výnosy celkem</t>
  </si>
  <si>
    <t>ÚT 6</t>
  </si>
  <si>
    <t>Hospodářský výsledek</t>
  </si>
  <si>
    <t>=ř.31 – ř.21</t>
  </si>
  <si>
    <t>Investiční výdaje</t>
  </si>
  <si>
    <t>Příjem půjčky/úvěru</t>
  </si>
  <si>
    <t>Splátka půjčky/úvěru</t>
  </si>
  <si>
    <t>Předplacené nájemné</t>
  </si>
  <si>
    <t>AKTIVA</t>
  </si>
  <si>
    <t>Běžné účetní období</t>
  </si>
  <si>
    <t>Minulé účetní období</t>
  </si>
  <si>
    <t xml:space="preserve">AKTIVA CELKEM </t>
  </si>
  <si>
    <t>A.I.</t>
  </si>
  <si>
    <t>Dlouhodobý majetek DHM+DNHM</t>
  </si>
  <si>
    <t>A.II.</t>
  </si>
  <si>
    <t>Dlouhodobý finanční majetek</t>
  </si>
  <si>
    <t>A.III.</t>
  </si>
  <si>
    <t>Oprávky</t>
  </si>
  <si>
    <t>B.I.</t>
  </si>
  <si>
    <t>Zásoby</t>
  </si>
  <si>
    <t>B.II.</t>
  </si>
  <si>
    <t>Pohledávky celkem</t>
  </si>
  <si>
    <t>B.III.</t>
  </si>
  <si>
    <t>Krátkodobý finanční majetek</t>
  </si>
  <si>
    <t>B.IV.</t>
  </si>
  <si>
    <t>Jiná aktiva (časové rozlišení)</t>
  </si>
  <si>
    <t>PASIVA</t>
  </si>
  <si>
    <t xml:space="preserve">PASIVA CELKEM   </t>
  </si>
  <si>
    <t>A.</t>
  </si>
  <si>
    <t>Vlastní zdroje celkem</t>
  </si>
  <si>
    <t>Vlastní jmění</t>
  </si>
  <si>
    <t>Fondy</t>
  </si>
  <si>
    <t>Oceňovací rozdíly</t>
  </si>
  <si>
    <t>A.IV.</t>
  </si>
  <si>
    <t>Účet výsledku hospodaření</t>
  </si>
  <si>
    <t>A.V.</t>
  </si>
  <si>
    <t>VH ve schv.řízení</t>
  </si>
  <si>
    <t>A.VI.</t>
  </si>
  <si>
    <t>Nerozd.zisk, neuhr.ztráta</t>
  </si>
  <si>
    <t>B.</t>
  </si>
  <si>
    <t xml:space="preserve">Cizí zdroje </t>
  </si>
  <si>
    <t>Rezervy</t>
  </si>
  <si>
    <t>Dlouhodobé závazky</t>
  </si>
  <si>
    <t>Krátkodobé závazky</t>
  </si>
  <si>
    <t>C.</t>
  </si>
  <si>
    <t>Jiná pasiva (časové rozlišení)</t>
  </si>
  <si>
    <t xml:space="preserve">                                                                                                                                                                                                  </t>
  </si>
  <si>
    <t>Vybráno</t>
  </si>
  <si>
    <t>Odvedeno</t>
  </si>
  <si>
    <t>Poznámky</t>
  </si>
  <si>
    <t>na tisk ČCE a jinou publikační činnost</t>
  </si>
  <si>
    <t>HDL Jeronymovy jednoty</t>
  </si>
  <si>
    <t>pro Diakonii</t>
  </si>
  <si>
    <t>solidarity sborů</t>
  </si>
  <si>
    <t>pro sociální a charitativní pomoc</t>
  </si>
  <si>
    <t>JTD</t>
  </si>
  <si>
    <t>pro bohoslovce a vikariát</t>
  </si>
  <si>
    <t>Celocírkevní sbírky povinné celkem</t>
  </si>
  <si>
    <t>Celocírkevní sbírky dobrovolné (celkem)</t>
  </si>
  <si>
    <t>Sbírka darů Jeronymovy jednoty</t>
  </si>
  <si>
    <t>Seniorátní sbírka</t>
  </si>
  <si>
    <t>Sbírky pro jiné účely celkem</t>
  </si>
  <si>
    <t>Odvody celkem</t>
  </si>
  <si>
    <t>Účetní jednotka účtuje v (zatrhněte):</t>
  </si>
  <si>
    <t>Název účetního softwaru:</t>
  </si>
  <si>
    <t>Jméno účetní sboru:</t>
  </si>
  <si>
    <t>Kontakt na účetní (telefon, mail):</t>
  </si>
  <si>
    <t>Poznámky:</t>
  </si>
  <si>
    <t>Za farní sbor schválil dne:</t>
  </si>
  <si>
    <t>kazatel</t>
  </si>
  <si>
    <t>kurátor</t>
  </si>
  <si>
    <t>Za seniorátní výbor dne:</t>
  </si>
  <si>
    <t>senior</t>
  </si>
  <si>
    <t>Money S3</t>
  </si>
  <si>
    <t>Jitka Dubová</t>
  </si>
  <si>
    <t>0222</t>
  </si>
  <si>
    <t>Poděbrady</t>
  </si>
  <si>
    <t>2400286385/2010</t>
  </si>
  <si>
    <t>poděbradský</t>
  </si>
  <si>
    <t>2016 rozpočet</t>
  </si>
  <si>
    <t>2017 rozpočet</t>
  </si>
  <si>
    <t>2016 skutečnost</t>
  </si>
  <si>
    <t>k 1.1.2016</t>
  </si>
  <si>
    <t>skutečnost 2017</t>
  </si>
  <si>
    <t>rozpočet 2018</t>
  </si>
  <si>
    <t>k 1.1.2017</t>
  </si>
  <si>
    <t>k 31.12.2017</t>
  </si>
  <si>
    <t>skutečnost 2018</t>
  </si>
  <si>
    <t>rozpočet 2019</t>
  </si>
  <si>
    <t>k 1/1/2018</t>
  </si>
  <si>
    <t>k 31/12/2018</t>
  </si>
  <si>
    <t>pro Evangelickou akademii</t>
  </si>
  <si>
    <t>skutečnost 2019</t>
  </si>
  <si>
    <t>rozpočet 2020</t>
  </si>
  <si>
    <t>k 1.1.2019</t>
  </si>
  <si>
    <t>k 31.12.2019</t>
  </si>
  <si>
    <t>na křesťanskou službu</t>
  </si>
  <si>
    <t>součet</t>
  </si>
  <si>
    <t>k 31.12.2020</t>
  </si>
  <si>
    <t>rozpočet 2021</t>
  </si>
  <si>
    <t>k 31.12.2021</t>
  </si>
  <si>
    <t>k 1.1.2021</t>
  </si>
  <si>
    <t>Sbírky 2021 a jejich odvody</t>
  </si>
  <si>
    <t>Sbírky 2021</t>
  </si>
  <si>
    <t xml:space="preserve">    -sbírka pro zdravotníky</t>
  </si>
  <si>
    <t>-sbírka Diakonie Libanon</t>
  </si>
  <si>
    <t>zdravotníci</t>
  </si>
  <si>
    <t>Tornádo</t>
  </si>
  <si>
    <t>Diakonie Libanon</t>
  </si>
  <si>
    <t>Diaokonie Libice</t>
  </si>
  <si>
    <t>Výkaz hospodaření 2021 - rozpočet 2022</t>
  </si>
  <si>
    <t>rozpočet 2022</t>
  </si>
  <si>
    <t>klubovna , solární panely</t>
  </si>
  <si>
    <t>do rozpočtu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</si>
</sst>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[$Kč-405];[Red]\-#,##0.00\ [$Kč-405]"/>
    <numFmt numFmtId="167" formatCode="\ #,##0.00&quot;,Kč &quot;;\-#,##0.00&quot;,Kč &quot;;&quot; -&quot;#&quot; Kč &quot;;@\ "/>
    <numFmt numFmtId="168" formatCode="#,##0.00_ ;[Red]\-#,##0.00\ "/>
    <numFmt numFmtId="169" formatCode="0.000"/>
    <numFmt numFmtId="170" formatCode="#,##0.000_ ;[Red]\-#,##0.000\ "/>
    <numFmt numFmtId="171" formatCode="#,##0.0000_ ;[Red]\-#,##0.0000\ "/>
    <numFmt numFmtId="172" formatCode="#,##0.0_ ;[Red]\-#,##0.0\ "/>
    <numFmt numFmtId="173" formatCode="#,##0_ ;[Red]\-#,##0\ "/>
  </numFmts>
  <fonts count="69">
    <font>
      <sz val="10"/>
      <name val="Arial CE"/>
      <family val="2"/>
    </font>
    <font>
      <sz val="10"/>
      <name val="Arial"/>
      <family val="0"/>
    </font>
    <font>
      <sz val="12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u val="single"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sz val="8"/>
      <name val="Calibri"/>
      <family val="2"/>
    </font>
    <font>
      <sz val="10"/>
      <name val="Arial Baltic"/>
      <family val="2"/>
    </font>
    <font>
      <i/>
      <sz val="9"/>
      <name val="Arial Baltic"/>
      <family val="2"/>
    </font>
    <font>
      <b/>
      <u val="single"/>
      <sz val="14"/>
      <name val="Calibri"/>
      <family val="2"/>
    </font>
    <font>
      <i/>
      <sz val="10"/>
      <name val="Arial Baltic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6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66" fontId="9" fillId="0" borderId="12" xfId="0" applyNumberFormat="1" applyFont="1" applyFill="1" applyBorder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166" fontId="10" fillId="0" borderId="1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wrapText="1"/>
    </xf>
    <xf numFmtId="4" fontId="3" fillId="0" borderId="21" xfId="37" applyNumberFormat="1" applyFont="1" applyFill="1" applyBorder="1" applyAlignment="1" applyProtection="1">
      <alignment horizontal="right"/>
      <protection locked="0"/>
    </xf>
    <xf numFmtId="0" fontId="11" fillId="33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wrapText="1"/>
    </xf>
    <xf numFmtId="4" fontId="3" fillId="0" borderId="24" xfId="37" applyNumberFormat="1" applyFont="1" applyFill="1" applyBorder="1" applyAlignment="1" applyProtection="1">
      <alignment horizontal="right"/>
      <protection locked="0"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9" fontId="13" fillId="0" borderId="23" xfId="0" applyNumberFormat="1" applyFont="1" applyFill="1" applyBorder="1" applyAlignment="1">
      <alignment horizontal="left" vertical="center" wrapText="1"/>
    </xf>
    <xf numFmtId="4" fontId="3" fillId="34" borderId="24" xfId="37" applyNumberFormat="1" applyFont="1" applyFill="1" applyBorder="1" applyAlignment="1" applyProtection="1">
      <alignment horizontal="right"/>
      <protection locked="0"/>
    </xf>
    <xf numFmtId="49" fontId="13" fillId="0" borderId="23" xfId="0" applyNumberFormat="1" applyFont="1" applyBorder="1" applyAlignment="1">
      <alignment horizontal="left" vertical="center" wrapText="1"/>
    </xf>
    <xf numFmtId="4" fontId="3" fillId="0" borderId="24" xfId="37" applyNumberFormat="1" applyFont="1" applyFill="1" applyBorder="1" applyAlignment="1" applyProtection="1">
      <alignment/>
      <protection locked="0"/>
    </xf>
    <xf numFmtId="3" fontId="12" fillId="0" borderId="23" xfId="0" applyNumberFormat="1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center" vertical="center" wrapText="1"/>
    </xf>
    <xf numFmtId="4" fontId="14" fillId="33" borderId="24" xfId="37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4" fontId="14" fillId="35" borderId="23" xfId="0" applyNumberFormat="1" applyFont="1" applyFill="1" applyBorder="1" applyAlignment="1">
      <alignment horizontal="right" vertical="center"/>
    </xf>
    <xf numFmtId="49" fontId="15" fillId="36" borderId="25" xfId="0" applyNumberFormat="1" applyFont="1" applyFill="1" applyBorder="1" applyAlignment="1">
      <alignment horizontal="left" vertical="center" wrapText="1"/>
    </xf>
    <xf numFmtId="49" fontId="16" fillId="36" borderId="25" xfId="0" applyNumberFormat="1" applyFont="1" applyFill="1" applyBorder="1" applyAlignment="1">
      <alignment horizontal="center"/>
    </xf>
    <xf numFmtId="4" fontId="14" fillId="36" borderId="26" xfId="0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/>
    </xf>
    <xf numFmtId="4" fontId="18" fillId="0" borderId="29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 applyProtection="1">
      <alignment/>
      <protection locked="0"/>
    </xf>
    <xf numFmtId="4" fontId="18" fillId="0" borderId="24" xfId="0" applyNumberFormat="1" applyFont="1" applyFill="1" applyBorder="1" applyAlignment="1" applyProtection="1">
      <alignment horizontal="right"/>
      <protection locked="0"/>
    </xf>
    <xf numFmtId="0" fontId="11" fillId="0" borderId="30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>
      <alignment horizontal="center"/>
    </xf>
    <xf numFmtId="4" fontId="18" fillId="0" borderId="26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3" fontId="3" fillId="36" borderId="2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6" borderId="2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0" fontId="9" fillId="0" borderId="33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left" vertical="center" wrapText="1" indent="1"/>
    </xf>
    <xf numFmtId="168" fontId="18" fillId="0" borderId="23" xfId="37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18" fillId="0" borderId="22" xfId="0" applyFont="1" applyBorder="1" applyAlignment="1">
      <alignment horizontal="left" indent="1"/>
    </xf>
    <xf numFmtId="49" fontId="17" fillId="0" borderId="22" xfId="0" applyNumberFormat="1" applyFont="1" applyFill="1" applyBorder="1" applyAlignment="1">
      <alignment horizontal="left" vertical="center" wrapText="1" indent="1"/>
    </xf>
    <xf numFmtId="168" fontId="18" fillId="34" borderId="23" xfId="37" applyNumberFormat="1" applyFont="1" applyFill="1" applyBorder="1" applyAlignment="1" applyProtection="1">
      <alignment horizontal="right" vertical="center"/>
      <protection locked="0"/>
    </xf>
    <xf numFmtId="49" fontId="17" fillId="0" borderId="22" xfId="0" applyNumberFormat="1" applyFont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168" fontId="3" fillId="35" borderId="23" xfId="37" applyNumberFormat="1" applyFont="1" applyFill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>
      <alignment horizontal="left" vertical="center" wrapText="1"/>
    </xf>
    <xf numFmtId="168" fontId="3" fillId="0" borderId="23" xfId="37" applyNumberFormat="1" applyFont="1" applyFill="1" applyBorder="1" applyAlignment="1" applyProtection="1">
      <alignment horizontal="right" vertical="center"/>
      <protection locked="0"/>
    </xf>
    <xf numFmtId="49" fontId="13" fillId="0" borderId="22" xfId="0" applyNumberFormat="1" applyFont="1" applyBorder="1" applyAlignment="1">
      <alignment horizontal="left" vertical="center" wrapText="1"/>
    </xf>
    <xf numFmtId="168" fontId="3" fillId="0" borderId="23" xfId="37" applyNumberFormat="1" applyFont="1" applyFill="1" applyBorder="1" applyAlignment="1" applyProtection="1">
      <alignment vertical="center"/>
      <protection locked="0"/>
    </xf>
    <xf numFmtId="49" fontId="13" fillId="0" borderId="34" xfId="0" applyNumberFormat="1" applyFont="1" applyBorder="1" applyAlignment="1">
      <alignment horizontal="left" vertical="center" wrapText="1"/>
    </xf>
    <xf numFmtId="168" fontId="3" fillId="0" borderId="35" xfId="37" applyNumberFormat="1" applyFont="1" applyFill="1" applyBorder="1" applyAlignment="1" applyProtection="1">
      <alignment vertical="center"/>
      <protection locked="0"/>
    </xf>
    <xf numFmtId="49" fontId="13" fillId="0" borderId="30" xfId="0" applyNumberFormat="1" applyFont="1" applyBorder="1" applyAlignment="1">
      <alignment horizontal="left" vertical="center" wrapText="1"/>
    </xf>
    <xf numFmtId="168" fontId="3" fillId="35" borderId="25" xfId="37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left" vertical="center" wrapText="1"/>
    </xf>
    <xf numFmtId="168" fontId="3" fillId="0" borderId="0" xfId="37" applyNumberFormat="1" applyFont="1" applyFill="1" applyBorder="1" applyAlignment="1" applyProtection="1">
      <alignment vertical="center"/>
      <protection hidden="1" locked="0"/>
    </xf>
    <xf numFmtId="49" fontId="13" fillId="0" borderId="0" xfId="0" applyNumberFormat="1" applyFont="1" applyBorder="1" applyAlignment="1" applyProtection="1">
      <alignment horizontal="left" wrapText="1"/>
      <protection/>
    </xf>
    <xf numFmtId="168" fontId="3" fillId="0" borderId="36" xfId="37" applyNumberFormat="1" applyFont="1" applyFill="1" applyBorder="1" applyAlignment="1" applyProtection="1">
      <alignment/>
      <protection locked="0"/>
    </xf>
    <xf numFmtId="168" fontId="3" fillId="0" borderId="0" xfId="37" applyNumberFormat="1" applyFont="1" applyFill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66" fontId="11" fillId="0" borderId="0" xfId="37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166" fontId="11" fillId="0" borderId="36" xfId="0" applyNumberFormat="1" applyFont="1" applyBorder="1" applyAlignment="1" applyProtection="1">
      <alignment horizontal="center"/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6" fontId="11" fillId="0" borderId="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left" vertical="center"/>
      <protection locked="0"/>
    </xf>
    <xf numFmtId="16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4" fontId="3" fillId="37" borderId="24" xfId="37" applyNumberFormat="1" applyFont="1" applyFill="1" applyBorder="1" applyAlignment="1" applyProtection="1">
      <alignment/>
      <protection locked="0"/>
    </xf>
    <xf numFmtId="0" fontId="12" fillId="34" borderId="37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vertical="center"/>
    </xf>
    <xf numFmtId="3" fontId="3" fillId="36" borderId="42" xfId="0" applyNumberFormat="1" applyFont="1" applyFill="1" applyBorder="1" applyAlignment="1">
      <alignment vertical="center"/>
    </xf>
    <xf numFmtId="0" fontId="3" fillId="34" borderId="43" xfId="0" applyFont="1" applyFill="1" applyBorder="1" applyAlignment="1">
      <alignment horizontal="center"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0" fontId="3" fillId="34" borderId="45" xfId="0" applyFont="1" applyFill="1" applyBorder="1" applyAlignment="1">
      <alignment horizontal="center" vertical="center"/>
    </xf>
    <xf numFmtId="3" fontId="3" fillId="35" borderId="46" xfId="0" applyNumberFormat="1" applyFont="1" applyFill="1" applyBorder="1" applyAlignment="1" applyProtection="1">
      <alignment vertical="center"/>
      <protection locked="0"/>
    </xf>
    <xf numFmtId="3" fontId="3" fillId="35" borderId="47" xfId="0" applyNumberFormat="1" applyFont="1" applyFill="1" applyBorder="1" applyAlignment="1" applyProtection="1">
      <alignment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3" fontId="3" fillId="36" borderId="50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173" fontId="3" fillId="0" borderId="0" xfId="37" applyNumberFormat="1" applyFont="1" applyFill="1" applyBorder="1" applyAlignment="1" applyProtection="1">
      <alignment/>
      <protection locked="0"/>
    </xf>
    <xf numFmtId="49" fontId="17" fillId="0" borderId="22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>
      <alignment horizontal="left" vertical="center"/>
    </xf>
    <xf numFmtId="49" fontId="18" fillId="0" borderId="24" xfId="37" applyNumberFormat="1" applyFont="1" applyFill="1" applyBorder="1" applyAlignment="1" applyProtection="1">
      <alignment horizontal="left" vertical="center"/>
      <protection locked="0"/>
    </xf>
    <xf numFmtId="49" fontId="3" fillId="34" borderId="24" xfId="37" applyNumberFormat="1" applyFont="1" applyFill="1" applyBorder="1" applyAlignment="1" applyProtection="1">
      <alignment horizontal="left" vertical="center"/>
      <protection locked="0"/>
    </xf>
    <xf numFmtId="49" fontId="3" fillId="0" borderId="24" xfId="37" applyNumberFormat="1" applyFont="1" applyFill="1" applyBorder="1" applyAlignment="1" applyProtection="1">
      <alignment horizontal="left" vertical="center"/>
      <protection locked="0"/>
    </xf>
    <xf numFmtId="49" fontId="3" fillId="0" borderId="53" xfId="37" applyNumberFormat="1" applyFont="1" applyFill="1" applyBorder="1" applyAlignment="1" applyProtection="1">
      <alignment horizontal="left" vertical="center"/>
      <protection locked="0"/>
    </xf>
    <xf numFmtId="49" fontId="3" fillId="0" borderId="26" xfId="37" applyNumberFormat="1" applyFont="1" applyFill="1" applyBorder="1" applyAlignment="1" applyProtection="1">
      <alignment horizontal="left" vertical="center"/>
      <protection locked="0"/>
    </xf>
    <xf numFmtId="49" fontId="3" fillId="0" borderId="0" xfId="37" applyNumberFormat="1" applyFont="1" applyFill="1" applyBorder="1" applyAlignment="1" applyProtection="1">
      <alignment horizontal="left" vertical="center"/>
      <protection hidden="1" locked="0"/>
    </xf>
    <xf numFmtId="49" fontId="3" fillId="0" borderId="36" xfId="37" applyNumberFormat="1" applyFont="1" applyFill="1" applyBorder="1" applyAlignment="1" applyProtection="1">
      <alignment horizontal="left"/>
      <protection locked="0"/>
    </xf>
    <xf numFmtId="49" fontId="3" fillId="0" borderId="0" xfId="37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66" fontId="11" fillId="0" borderId="0" xfId="0" applyNumberFormat="1" applyFont="1" applyBorder="1" applyAlignment="1" applyProtection="1">
      <alignment horizontal="left"/>
      <protection locked="0"/>
    </xf>
    <xf numFmtId="166" fontId="8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7" fillId="38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166" fontId="9" fillId="0" borderId="15" xfId="0" applyNumberFormat="1" applyFont="1" applyFill="1" applyBorder="1" applyAlignment="1" applyProtection="1">
      <alignment horizontal="left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21" xfId="37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4" fontId="8" fillId="0" borderId="24" xfId="37" applyNumberFormat="1" applyFont="1" applyFill="1" applyBorder="1" applyAlignment="1" applyProtection="1">
      <alignment horizontal="right"/>
      <protection locked="0"/>
    </xf>
    <xf numFmtId="4" fontId="8" fillId="34" borderId="24" xfId="37" applyNumberFormat="1" applyFont="1" applyFill="1" applyBorder="1" applyAlignment="1" applyProtection="1">
      <alignment horizontal="right"/>
      <protection locked="0"/>
    </xf>
    <xf numFmtId="4" fontId="8" fillId="0" borderId="24" xfId="37" applyNumberFormat="1" applyFont="1" applyFill="1" applyBorder="1" applyAlignment="1" applyProtection="1">
      <alignment/>
      <protection locked="0"/>
    </xf>
    <xf numFmtId="4" fontId="8" fillId="37" borderId="24" xfId="37" applyNumberFormat="1" applyFont="1" applyFill="1" applyBorder="1" applyAlignment="1" applyProtection="1">
      <alignment/>
      <protection locked="0"/>
    </xf>
    <xf numFmtId="4" fontId="66" fillId="0" borderId="24" xfId="37" applyNumberFormat="1" applyFont="1" applyFill="1" applyBorder="1" applyAlignment="1" applyProtection="1">
      <alignment horizontal="right"/>
      <protection locked="0"/>
    </xf>
    <xf numFmtId="4" fontId="28" fillId="0" borderId="29" xfId="0" applyNumberFormat="1" applyFont="1" applyFill="1" applyBorder="1" applyAlignment="1" applyProtection="1">
      <alignment/>
      <protection locked="0"/>
    </xf>
    <xf numFmtId="4" fontId="28" fillId="0" borderId="24" xfId="0" applyNumberFormat="1" applyFont="1" applyFill="1" applyBorder="1" applyAlignment="1" applyProtection="1">
      <alignment/>
      <protection locked="0"/>
    </xf>
    <xf numFmtId="4" fontId="28" fillId="0" borderId="24" xfId="0" applyNumberFormat="1" applyFont="1" applyFill="1" applyBorder="1" applyAlignment="1" applyProtection="1">
      <alignment horizontal="right"/>
      <protection locked="0"/>
    </xf>
    <xf numFmtId="4" fontId="28" fillId="0" borderId="26" xfId="0" applyNumberFormat="1" applyFont="1" applyFill="1" applyBorder="1" applyAlignment="1" applyProtection="1">
      <alignment horizontal="right"/>
      <protection locked="0"/>
    </xf>
    <xf numFmtId="0" fontId="29" fillId="34" borderId="40" xfId="0" applyFont="1" applyFill="1" applyBorder="1" applyAlignment="1">
      <alignment horizontal="center" vertical="center"/>
    </xf>
    <xf numFmtId="3" fontId="8" fillId="36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36" borderId="42" xfId="0" applyNumberFormat="1" applyFont="1" applyFill="1" applyBorder="1" applyAlignment="1">
      <alignment vertical="center"/>
    </xf>
    <xf numFmtId="3" fontId="8" fillId="35" borderId="44" xfId="0" applyNumberFormat="1" applyFont="1" applyFill="1" applyBorder="1" applyAlignment="1">
      <alignment vertical="center"/>
    </xf>
    <xf numFmtId="3" fontId="8" fillId="35" borderId="47" xfId="0" applyNumberFormat="1" applyFont="1" applyFill="1" applyBorder="1" applyAlignment="1" applyProtection="1">
      <alignment vertical="center"/>
      <protection locked="0"/>
    </xf>
    <xf numFmtId="166" fontId="8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8" fillId="33" borderId="22" xfId="0" applyFont="1" applyFill="1" applyBorder="1" applyAlignment="1">
      <alignment horizontal="center" vertical="center"/>
    </xf>
    <xf numFmtId="49" fontId="66" fillId="0" borderId="23" xfId="0" applyNumberFormat="1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6" fillId="34" borderId="38" xfId="0" applyFont="1" applyFill="1" applyBorder="1" applyAlignment="1">
      <alignment horizontal="center" vertical="center"/>
    </xf>
    <xf numFmtId="0" fontId="8" fillId="36" borderId="5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34" borderId="56" xfId="0" applyFont="1" applyFill="1" applyBorder="1" applyAlignment="1">
      <alignment horizontal="center" vertical="center"/>
    </xf>
    <xf numFmtId="0" fontId="8" fillId="36" borderId="57" xfId="0" applyFont="1" applyFill="1" applyBorder="1" applyAlignment="1">
      <alignment vertical="center"/>
    </xf>
    <xf numFmtId="0" fontId="8" fillId="35" borderId="31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31" xfId="0" applyFont="1" applyFill="1" applyBorder="1" applyAlignment="1">
      <alignment horizontal="left" vertical="center"/>
    </xf>
    <xf numFmtId="0" fontId="8" fillId="35" borderId="55" xfId="0" applyFont="1" applyFill="1" applyBorder="1" applyAlignment="1">
      <alignment vertical="center"/>
    </xf>
    <xf numFmtId="168" fontId="3" fillId="0" borderId="0" xfId="37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left" vertical="center"/>
      <protection locked="0"/>
    </xf>
    <xf numFmtId="168" fontId="3" fillId="0" borderId="0" xfId="37" applyNumberFormat="1" applyFont="1" applyFill="1" applyBorder="1" applyAlignment="1" applyProtection="1">
      <alignment horizontal="center" wrapText="1"/>
      <protection hidden="1" locked="0"/>
    </xf>
    <xf numFmtId="168" fontId="3" fillId="0" borderId="36" xfId="37" applyNumberFormat="1" applyFont="1" applyFill="1" applyBorder="1" applyAlignment="1" applyProtection="1">
      <alignment horizontal="center"/>
      <protection hidden="1" locked="0"/>
    </xf>
    <xf numFmtId="168" fontId="3" fillId="0" borderId="59" xfId="37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07"/>
  <sheetViews>
    <sheetView tabSelected="1" zoomScaleSheetLayoutView="100" workbookViewId="0" topLeftCell="A14">
      <selection activeCell="P19" sqref="P19"/>
    </sheetView>
  </sheetViews>
  <sheetFormatPr defaultColWidth="9.00390625" defaultRowHeight="12.75"/>
  <cols>
    <col min="1" max="1" width="4.625" style="1" customWidth="1"/>
    <col min="2" max="2" width="35.375" style="2" customWidth="1"/>
    <col min="3" max="3" width="12.50390625" style="3" customWidth="1"/>
    <col min="4" max="4" width="16.375" style="4" hidden="1" customWidth="1"/>
    <col min="5" max="5" width="17.50390625" style="4" hidden="1" customWidth="1"/>
    <col min="6" max="7" width="16.375" style="4" hidden="1" customWidth="1"/>
    <col min="8" max="11" width="16.375" style="193" hidden="1" customWidth="1"/>
    <col min="12" max="16" width="16.375" style="193" customWidth="1"/>
    <col min="17" max="16384" width="9.00390625" style="2" customWidth="1"/>
  </cols>
  <sheetData>
    <row r="1" spans="1:16" s="5" customFormat="1" ht="22.5" customHeight="1">
      <c r="A1" s="198" t="s">
        <v>155</v>
      </c>
      <c r="B1" s="198"/>
      <c r="C1" s="198"/>
      <c r="D1" s="198"/>
      <c r="H1" s="172"/>
      <c r="I1" s="172"/>
      <c r="J1" s="172"/>
      <c r="K1" s="172"/>
      <c r="L1" s="172"/>
      <c r="M1" s="172"/>
      <c r="N1" s="172"/>
      <c r="O1" s="172"/>
      <c r="P1" s="172"/>
    </row>
    <row r="2" spans="1:17" s="8" customFormat="1" ht="15" customHeight="1" thickBot="1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158</v>
      </c>
    </row>
    <row r="3" spans="1:16" s="13" customFormat="1" ht="17.25" customHeight="1">
      <c r="A3" s="9"/>
      <c r="B3" s="10" t="s">
        <v>0</v>
      </c>
      <c r="C3" s="11" t="s">
        <v>121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7.25" customHeight="1">
      <c r="A4" s="14"/>
      <c r="B4" s="15" t="s">
        <v>1</v>
      </c>
      <c r="C4" s="16" t="s">
        <v>120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3" customFormat="1" ht="17.25" customHeight="1">
      <c r="A5" s="18"/>
      <c r="B5" s="19" t="s">
        <v>2</v>
      </c>
      <c r="C5" s="20" t="s">
        <v>123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3" customFormat="1" ht="17.25" customHeight="1" thickBot="1">
      <c r="A6" s="14"/>
      <c r="B6" s="22" t="s">
        <v>3</v>
      </c>
      <c r="C6" s="23" t="s">
        <v>122</v>
      </c>
      <c r="D6" s="24"/>
      <c r="E6" s="24"/>
      <c r="F6" s="24"/>
      <c r="G6" s="24"/>
      <c r="H6" s="173"/>
      <c r="I6" s="173"/>
      <c r="J6" s="173"/>
      <c r="K6" s="173"/>
      <c r="L6" s="173"/>
      <c r="M6" s="173"/>
      <c r="N6" s="173"/>
      <c r="O6" s="173"/>
      <c r="P6" s="173"/>
    </row>
    <row r="7" spans="1:16" s="8" customFormat="1" ht="16.5" customHeight="1" thickBot="1">
      <c r="A7" s="25"/>
      <c r="B7" s="25"/>
      <c r="C7" s="25"/>
      <c r="D7" s="26"/>
      <c r="E7" s="26"/>
      <c r="F7" s="26"/>
      <c r="G7" s="26"/>
      <c r="H7" s="174"/>
      <c r="I7" s="174"/>
      <c r="J7" s="174"/>
      <c r="K7" s="174"/>
      <c r="L7" s="174"/>
      <c r="M7" s="174"/>
      <c r="N7" s="174"/>
      <c r="O7" s="174"/>
      <c r="P7" s="174"/>
    </row>
    <row r="8" spans="1:16" s="8" customFormat="1" ht="21" customHeight="1" thickBot="1">
      <c r="A8" s="27" t="s">
        <v>4</v>
      </c>
      <c r="B8" s="28" t="s">
        <v>5</v>
      </c>
      <c r="C8" s="29" t="s">
        <v>6</v>
      </c>
      <c r="D8" s="30" t="s">
        <v>124</v>
      </c>
      <c r="E8" s="30" t="s">
        <v>126</v>
      </c>
      <c r="F8" s="30" t="s">
        <v>125</v>
      </c>
      <c r="G8" s="171" t="s">
        <v>128</v>
      </c>
      <c r="H8" s="171" t="s">
        <v>129</v>
      </c>
      <c r="I8" s="171" t="s">
        <v>132</v>
      </c>
      <c r="J8" s="171" t="s">
        <v>133</v>
      </c>
      <c r="K8" s="171" t="s">
        <v>137</v>
      </c>
      <c r="L8" s="171" t="s">
        <v>138</v>
      </c>
      <c r="M8" s="171">
        <v>2020</v>
      </c>
      <c r="N8" s="171" t="s">
        <v>144</v>
      </c>
      <c r="O8" s="171">
        <v>2021</v>
      </c>
      <c r="P8" s="171" t="s">
        <v>156</v>
      </c>
    </row>
    <row r="9" spans="1:16" ht="14.25" customHeight="1">
      <c r="A9" s="31">
        <v>1</v>
      </c>
      <c r="B9" s="32" t="s">
        <v>7</v>
      </c>
      <c r="C9" s="33">
        <v>501</v>
      </c>
      <c r="D9" s="34">
        <v>120000</v>
      </c>
      <c r="E9" s="34">
        <f>31991.1+19606+13794+28146</f>
        <v>93537.1</v>
      </c>
      <c r="F9" s="34">
        <v>150000</v>
      </c>
      <c r="G9" s="34">
        <f>24759+48491+43008</f>
        <v>116258</v>
      </c>
      <c r="H9" s="175">
        <v>80000</v>
      </c>
      <c r="I9" s="175">
        <f>27818.37+3715+36891</f>
        <v>68424.37</v>
      </c>
      <c r="J9" s="175">
        <v>70000</v>
      </c>
      <c r="K9" s="175">
        <v>125187</v>
      </c>
      <c r="L9" s="175">
        <f>110000+50000</f>
        <v>160000</v>
      </c>
      <c r="M9" s="175">
        <v>84530.8</v>
      </c>
      <c r="N9" s="175">
        <v>130000</v>
      </c>
      <c r="O9" s="175">
        <v>240637.32</v>
      </c>
      <c r="P9" s="175"/>
    </row>
    <row r="10" spans="1:16" ht="14.25" customHeight="1">
      <c r="A10" s="35">
        <f aca="true" t="shared" si="0" ref="A10:A41">A9+1</f>
        <v>2</v>
      </c>
      <c r="B10" s="36" t="s">
        <v>8</v>
      </c>
      <c r="C10" s="37">
        <v>502.503</v>
      </c>
      <c r="D10" s="38">
        <v>120000</v>
      </c>
      <c r="E10" s="38">
        <f>17763+8304+19357+27593+15746</f>
        <v>88763</v>
      </c>
      <c r="F10" s="38">
        <v>120000</v>
      </c>
      <c r="G10" s="38">
        <v>122943</v>
      </c>
      <c r="H10" s="177">
        <v>125000</v>
      </c>
      <c r="I10" s="177">
        <f>17213+6584+17813+14636+34460</f>
        <v>90706</v>
      </c>
      <c r="J10" s="177">
        <v>110000</v>
      </c>
      <c r="K10" s="177">
        <f>27941+73033</f>
        <v>100974</v>
      </c>
      <c r="L10" s="177">
        <v>110000</v>
      </c>
      <c r="M10" s="177">
        <f>32993.35+66401.77</f>
        <v>99395.12</v>
      </c>
      <c r="N10" s="177">
        <v>100000</v>
      </c>
      <c r="O10" s="177">
        <f>30800.69+61215.99</f>
        <v>92016.68</v>
      </c>
      <c r="P10" s="177"/>
    </row>
    <row r="11" spans="1:16" ht="14.25" customHeight="1">
      <c r="A11" s="35">
        <f t="shared" si="0"/>
        <v>3</v>
      </c>
      <c r="B11" s="39" t="s">
        <v>9</v>
      </c>
      <c r="C11" s="40">
        <v>504</v>
      </c>
      <c r="D11" s="38">
        <v>5000</v>
      </c>
      <c r="E11" s="38">
        <v>4905.7</v>
      </c>
      <c r="F11" s="38">
        <v>5000</v>
      </c>
      <c r="G11" s="38">
        <v>4072.59</v>
      </c>
      <c r="H11" s="177">
        <v>5000</v>
      </c>
      <c r="I11" s="177">
        <v>6006.87</v>
      </c>
      <c r="J11" s="177">
        <v>6000</v>
      </c>
      <c r="K11" s="177">
        <v>9355</v>
      </c>
      <c r="L11" s="177">
        <v>9000</v>
      </c>
      <c r="M11" s="177">
        <v>4893.65</v>
      </c>
      <c r="N11" s="177">
        <v>5000</v>
      </c>
      <c r="O11" s="177">
        <v>10842</v>
      </c>
      <c r="P11" s="177"/>
    </row>
    <row r="12" spans="1:16" ht="14.25" customHeight="1">
      <c r="A12" s="35">
        <f t="shared" si="0"/>
        <v>4</v>
      </c>
      <c r="B12" s="41" t="s">
        <v>10</v>
      </c>
      <c r="C12" s="37">
        <v>511</v>
      </c>
      <c r="D12" s="42">
        <f>50000*1.21+20000+10000</f>
        <v>90500</v>
      </c>
      <c r="E12" s="42">
        <v>80846.48</v>
      </c>
      <c r="F12" s="42">
        <v>760000</v>
      </c>
      <c r="G12" s="42">
        <f>40351+836569.51+32670</f>
        <v>909590.51</v>
      </c>
      <c r="H12" s="178">
        <f>541000+25000+50000</f>
        <v>616000</v>
      </c>
      <c r="I12" s="178">
        <f>96878+178183.34</f>
        <v>275061.33999999997</v>
      </c>
      <c r="J12" s="178">
        <v>150000</v>
      </c>
      <c r="K12" s="178">
        <v>205808</v>
      </c>
      <c r="L12" s="178">
        <f>120000+80000</f>
        <v>200000</v>
      </c>
      <c r="M12" s="178">
        <v>436704.63</v>
      </c>
      <c r="N12" s="178">
        <v>200000</v>
      </c>
      <c r="O12" s="178">
        <v>119547</v>
      </c>
      <c r="P12" s="178"/>
    </row>
    <row r="13" spans="1:16" ht="14.25" customHeight="1">
      <c r="A13" s="35">
        <f t="shared" si="0"/>
        <v>5</v>
      </c>
      <c r="B13" s="43" t="s">
        <v>11</v>
      </c>
      <c r="C13" s="37">
        <v>512</v>
      </c>
      <c r="D13" s="38">
        <v>22000</v>
      </c>
      <c r="E13" s="38">
        <f>6180+5760</f>
        <v>11940</v>
      </c>
      <c r="F13" s="38">
        <v>15000</v>
      </c>
      <c r="G13" s="38">
        <f>6361+13753</f>
        <v>20114</v>
      </c>
      <c r="H13" s="177">
        <v>20000</v>
      </c>
      <c r="I13" s="177">
        <f>5078+13876</f>
        <v>18954</v>
      </c>
      <c r="J13" s="177">
        <v>20000</v>
      </c>
      <c r="K13" s="177">
        <v>13616</v>
      </c>
      <c r="L13" s="177">
        <v>15000</v>
      </c>
      <c r="M13" s="177">
        <v>15565</v>
      </c>
      <c r="N13" s="177">
        <v>15000</v>
      </c>
      <c r="O13" s="177">
        <v>11209</v>
      </c>
      <c r="P13" s="177"/>
    </row>
    <row r="14" spans="1:16" ht="26.25" customHeight="1">
      <c r="A14" s="35">
        <f t="shared" si="0"/>
        <v>6</v>
      </c>
      <c r="B14" s="43" t="s">
        <v>12</v>
      </c>
      <c r="C14" s="37">
        <v>513</v>
      </c>
      <c r="D14" s="38">
        <v>0</v>
      </c>
      <c r="E14" s="38">
        <v>0</v>
      </c>
      <c r="F14" s="38">
        <v>0</v>
      </c>
      <c r="G14" s="38">
        <v>18240</v>
      </c>
      <c r="H14" s="177">
        <v>20000</v>
      </c>
      <c r="I14" s="177">
        <f>16655+8031</f>
        <v>24686</v>
      </c>
      <c r="J14" s="177">
        <v>25000</v>
      </c>
      <c r="K14" s="177">
        <v>16664</v>
      </c>
      <c r="L14" s="177">
        <v>20000</v>
      </c>
      <c r="M14" s="177">
        <v>26673</v>
      </c>
      <c r="N14" s="177">
        <v>20000</v>
      </c>
      <c r="O14" s="177">
        <v>22104.55</v>
      </c>
      <c r="P14" s="177"/>
    </row>
    <row r="15" spans="1:16" ht="14.25" customHeight="1">
      <c r="A15" s="35">
        <f t="shared" si="0"/>
        <v>7</v>
      </c>
      <c r="B15" s="43" t="s">
        <v>13</v>
      </c>
      <c r="C15" s="37">
        <v>518</v>
      </c>
      <c r="D15" s="38">
        <v>6500</v>
      </c>
      <c r="E15" s="38">
        <v>6520.47</v>
      </c>
      <c r="F15" s="38">
        <v>6500</v>
      </c>
      <c r="G15" s="38">
        <v>6564.87</v>
      </c>
      <c r="H15" s="177">
        <v>6600</v>
      </c>
      <c r="I15" s="177">
        <v>6059.88</v>
      </c>
      <c r="J15" s="177">
        <v>6500</v>
      </c>
      <c r="K15" s="177">
        <v>6060</v>
      </c>
      <c r="L15" s="177">
        <v>6500</v>
      </c>
      <c r="M15" s="177">
        <v>12970.56</v>
      </c>
      <c r="N15" s="177">
        <v>5500</v>
      </c>
      <c r="O15" s="177">
        <v>6933</v>
      </c>
      <c r="P15" s="177"/>
    </row>
    <row r="16" spans="1:16" ht="14.25" customHeight="1">
      <c r="A16" s="35">
        <f t="shared" si="0"/>
        <v>8</v>
      </c>
      <c r="B16" s="43" t="s">
        <v>14</v>
      </c>
      <c r="C16" s="37">
        <v>518</v>
      </c>
      <c r="D16" s="38">
        <v>0</v>
      </c>
      <c r="E16" s="38">
        <v>1660.4</v>
      </c>
      <c r="F16" s="38">
        <v>0</v>
      </c>
      <c r="G16" s="38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/>
    </row>
    <row r="17" spans="1:16" ht="14.25" customHeight="1">
      <c r="A17" s="35">
        <f t="shared" si="0"/>
        <v>9</v>
      </c>
      <c r="B17" s="43" t="s">
        <v>15</v>
      </c>
      <c r="C17" s="37">
        <v>518</v>
      </c>
      <c r="D17" s="38">
        <v>70000</v>
      </c>
      <c r="E17" s="38">
        <f>17575+2551+3820+2238+7684+17943</f>
        <v>51811</v>
      </c>
      <c r="F17" s="38">
        <v>80000</v>
      </c>
      <c r="G17" s="38">
        <f>7731+2211+3200+53771+25609+77720+9920+8535</f>
        <v>188697</v>
      </c>
      <c r="H17" s="177">
        <f>164000+10000</f>
        <v>174000</v>
      </c>
      <c r="I17" s="177">
        <f>25428+5197+4725+16618+79400+7870+61978</f>
        <v>201216</v>
      </c>
      <c r="J17" s="177">
        <f>50000+10000</f>
        <v>60000</v>
      </c>
      <c r="K17" s="177">
        <f>116756-6059</f>
        <v>110697</v>
      </c>
      <c r="L17" s="177">
        <v>45000</v>
      </c>
      <c r="M17" s="177">
        <f>110017.66-12970.56</f>
        <v>97047.1</v>
      </c>
      <c r="N17" s="177">
        <v>100000</v>
      </c>
      <c r="O17" s="177">
        <f>143546.02-O15</f>
        <v>136613.02</v>
      </c>
      <c r="P17" s="177"/>
    </row>
    <row r="18" spans="1:16" ht="14.25" customHeight="1">
      <c r="A18" s="35">
        <f t="shared" si="0"/>
        <v>10</v>
      </c>
      <c r="B18" s="41" t="s">
        <v>16</v>
      </c>
      <c r="C18" s="37" t="s">
        <v>17</v>
      </c>
      <c r="D18" s="38">
        <v>80000</v>
      </c>
      <c r="E18" s="38">
        <v>57420</v>
      </c>
      <c r="F18" s="38">
        <v>60000</v>
      </c>
      <c r="G18" s="38">
        <v>61180</v>
      </c>
      <c r="H18" s="177">
        <v>85000</v>
      </c>
      <c r="I18" s="177">
        <v>62050</v>
      </c>
      <c r="J18" s="177">
        <v>75000</v>
      </c>
      <c r="K18" s="177">
        <v>53225</v>
      </c>
      <c r="L18" s="177">
        <v>65000</v>
      </c>
      <c r="M18" s="177">
        <v>51080</v>
      </c>
      <c r="N18" s="177">
        <v>55000</v>
      </c>
      <c r="O18" s="177">
        <v>62430</v>
      </c>
      <c r="P18" s="177"/>
    </row>
    <row r="19" spans="1:16" ht="14.25" customHeight="1">
      <c r="A19" s="35">
        <f t="shared" si="0"/>
        <v>11</v>
      </c>
      <c r="B19" s="41" t="s">
        <v>18</v>
      </c>
      <c r="C19" s="37" t="s">
        <v>19</v>
      </c>
      <c r="D19" s="38">
        <v>1100</v>
      </c>
      <c r="E19" s="38">
        <v>2310</v>
      </c>
      <c r="F19" s="38">
        <v>2310</v>
      </c>
      <c r="G19" s="38">
        <v>2310</v>
      </c>
      <c r="H19" s="177">
        <v>2310</v>
      </c>
      <c r="I19" s="177">
        <v>2310</v>
      </c>
      <c r="J19" s="177">
        <v>2310</v>
      </c>
      <c r="K19" s="177">
        <v>2310</v>
      </c>
      <c r="L19" s="177">
        <v>4904</v>
      </c>
      <c r="M19" s="177">
        <v>4904</v>
      </c>
      <c r="N19" s="177">
        <v>5000</v>
      </c>
      <c r="O19" s="177">
        <f>15214+2734</f>
        <v>17948</v>
      </c>
      <c r="P19" s="177"/>
    </row>
    <row r="20" spans="1:16" s="8" customFormat="1" ht="14.25" customHeight="1">
      <c r="A20" s="35">
        <f t="shared" si="0"/>
        <v>12</v>
      </c>
      <c r="B20" s="43" t="s">
        <v>20</v>
      </c>
      <c r="C20" s="37">
        <v>546</v>
      </c>
      <c r="D20" s="44">
        <v>0</v>
      </c>
      <c r="E20" s="44">
        <v>3500</v>
      </c>
      <c r="F20" s="44">
        <v>0</v>
      </c>
      <c r="G20" s="44">
        <v>0</v>
      </c>
      <c r="H20" s="179">
        <v>0</v>
      </c>
      <c r="I20" s="179">
        <v>0</v>
      </c>
      <c r="J20" s="177">
        <v>17000</v>
      </c>
      <c r="K20" s="179">
        <v>12900</v>
      </c>
      <c r="L20" s="177">
        <v>16000</v>
      </c>
      <c r="M20" s="177">
        <v>26000</v>
      </c>
      <c r="N20" s="177">
        <v>0</v>
      </c>
      <c r="O20" s="177">
        <v>0</v>
      </c>
      <c r="P20" s="177"/>
    </row>
    <row r="21" spans="1:16" s="8" customFormat="1" ht="14.25" customHeight="1">
      <c r="A21" s="35">
        <f t="shared" si="0"/>
        <v>13</v>
      </c>
      <c r="B21" s="43" t="s">
        <v>21</v>
      </c>
      <c r="C21" s="45">
        <v>581</v>
      </c>
      <c r="D21" s="129">
        <v>6000</v>
      </c>
      <c r="E21" s="129">
        <v>6000</v>
      </c>
      <c r="F21" s="129">
        <v>6000</v>
      </c>
      <c r="G21" s="129">
        <v>6000</v>
      </c>
      <c r="H21" s="180">
        <v>6000</v>
      </c>
      <c r="I21" s="180">
        <v>6000</v>
      </c>
      <c r="J21" s="180">
        <v>6000</v>
      </c>
      <c r="K21" s="180">
        <v>6000</v>
      </c>
      <c r="L21" s="180">
        <v>8000</v>
      </c>
      <c r="M21" s="180">
        <v>8000</v>
      </c>
      <c r="N21" s="180">
        <v>9000</v>
      </c>
      <c r="O21" s="180">
        <v>9000</v>
      </c>
      <c r="P21" s="180">
        <v>10500</v>
      </c>
    </row>
    <row r="22" spans="1:16" ht="14.25" customHeight="1">
      <c r="A22" s="35">
        <f t="shared" si="0"/>
        <v>14</v>
      </c>
      <c r="B22" s="43" t="s">
        <v>22</v>
      </c>
      <c r="C22" s="45">
        <v>581</v>
      </c>
      <c r="D22" s="129">
        <v>42900</v>
      </c>
      <c r="E22" s="129">
        <v>42900</v>
      </c>
      <c r="F22" s="129">
        <v>40670</v>
      </c>
      <c r="G22" s="129">
        <v>40670</v>
      </c>
      <c r="H22" s="180">
        <v>40870</v>
      </c>
      <c r="I22" s="180">
        <v>40870</v>
      </c>
      <c r="J22" s="180">
        <v>52600</v>
      </c>
      <c r="K22" s="180">
        <v>52600</v>
      </c>
      <c r="L22" s="180">
        <v>68000</v>
      </c>
      <c r="M22" s="180">
        <v>68080</v>
      </c>
      <c r="N22" s="180">
        <v>70187</v>
      </c>
      <c r="O22" s="180">
        <v>70187</v>
      </c>
      <c r="P22" s="180">
        <v>77867</v>
      </c>
    </row>
    <row r="23" spans="1:16" ht="14.25" customHeight="1">
      <c r="A23" s="35">
        <f t="shared" si="0"/>
        <v>15</v>
      </c>
      <c r="B23" s="43" t="s">
        <v>23</v>
      </c>
      <c r="C23" s="37">
        <v>581</v>
      </c>
      <c r="D23" s="44">
        <v>92300</v>
      </c>
      <c r="E23" s="44">
        <v>92300</v>
      </c>
      <c r="F23" s="44">
        <v>100000</v>
      </c>
      <c r="G23" s="44">
        <v>100000</v>
      </c>
      <c r="H23" s="179">
        <v>108300</v>
      </c>
      <c r="I23" s="179">
        <v>108300</v>
      </c>
      <c r="J23" s="179">
        <v>129000</v>
      </c>
      <c r="K23" s="179">
        <v>129000</v>
      </c>
      <c r="L23" s="179">
        <v>161823</v>
      </c>
      <c r="M23" s="179">
        <v>161823</v>
      </c>
      <c r="N23" s="179">
        <v>220891</v>
      </c>
      <c r="O23" s="179">
        <v>205552</v>
      </c>
      <c r="P23" s="179">
        <v>251792</v>
      </c>
    </row>
    <row r="24" spans="1:16" ht="14.25" customHeight="1">
      <c r="A24" s="35">
        <f t="shared" si="0"/>
        <v>16</v>
      </c>
      <c r="B24" s="41" t="s">
        <v>24</v>
      </c>
      <c r="C24" s="37">
        <v>581</v>
      </c>
      <c r="D24" s="44">
        <v>0</v>
      </c>
      <c r="E24" s="44">
        <v>0</v>
      </c>
      <c r="F24" s="44">
        <v>0</v>
      </c>
      <c r="G24" s="44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/>
    </row>
    <row r="25" spans="1:16" ht="14.25" customHeight="1">
      <c r="A25" s="35">
        <f t="shared" si="0"/>
        <v>17</v>
      </c>
      <c r="B25" s="41" t="s">
        <v>25</v>
      </c>
      <c r="C25" s="37">
        <v>581</v>
      </c>
      <c r="D25" s="44">
        <v>0</v>
      </c>
      <c r="E25" s="44">
        <v>0</v>
      </c>
      <c r="F25" s="44">
        <v>0</v>
      </c>
      <c r="G25" s="44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/>
    </row>
    <row r="26" spans="1:16" ht="14.25" customHeight="1">
      <c r="A26" s="35">
        <f t="shared" si="0"/>
        <v>18</v>
      </c>
      <c r="B26" s="43" t="s">
        <v>26</v>
      </c>
      <c r="C26" s="37" t="s">
        <v>27</v>
      </c>
      <c r="D26" s="44">
        <v>64627</v>
      </c>
      <c r="E26" s="44">
        <v>79128</v>
      </c>
      <c r="F26" s="44">
        <v>0</v>
      </c>
      <c r="G26" s="44">
        <v>19865.8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4546</v>
      </c>
      <c r="N26" s="179">
        <v>9194</v>
      </c>
      <c r="O26" s="179">
        <v>9194</v>
      </c>
      <c r="P26" s="179"/>
    </row>
    <row r="27" spans="1:16" s="8" customFormat="1" ht="14.25" customHeight="1">
      <c r="A27" s="35">
        <f t="shared" si="0"/>
        <v>19</v>
      </c>
      <c r="B27" s="41" t="s">
        <v>28</v>
      </c>
      <c r="C27" s="46" t="s">
        <v>29</v>
      </c>
      <c r="D27" s="38">
        <v>13000</v>
      </c>
      <c r="E27" s="38">
        <f>95+34.5+4872+100</f>
        <v>5101.5</v>
      </c>
      <c r="F27" s="38">
        <v>13000</v>
      </c>
      <c r="G27" s="38">
        <v>16736.29</v>
      </c>
      <c r="H27" s="177">
        <v>15000</v>
      </c>
      <c r="I27" s="177">
        <v>19038.24</v>
      </c>
      <c r="J27" s="177">
        <v>20000</v>
      </c>
      <c r="K27" s="177">
        <v>20883</v>
      </c>
      <c r="L27" s="177">
        <v>20000</v>
      </c>
      <c r="M27" s="177">
        <v>53684.41</v>
      </c>
      <c r="N27" s="177">
        <v>20000</v>
      </c>
      <c r="O27" s="177">
        <v>15238.09</v>
      </c>
      <c r="P27" s="177"/>
    </row>
    <row r="28" spans="1:16" s="8" customFormat="1" ht="14.25" customHeight="1">
      <c r="A28" s="35">
        <f t="shared" si="0"/>
        <v>20</v>
      </c>
      <c r="B28" s="41" t="s">
        <v>30</v>
      </c>
      <c r="C28" s="46">
        <v>591.595</v>
      </c>
      <c r="D28" s="38">
        <v>0</v>
      </c>
      <c r="E28" s="38">
        <v>0</v>
      </c>
      <c r="F28" s="38">
        <v>0</v>
      </c>
      <c r="G28" s="38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/>
    </row>
    <row r="29" spans="1:16" ht="14.25" customHeight="1">
      <c r="A29" s="35">
        <f t="shared" si="0"/>
        <v>21</v>
      </c>
      <c r="B29" s="47" t="s">
        <v>31</v>
      </c>
      <c r="C29" s="48" t="s">
        <v>32</v>
      </c>
      <c r="D29" s="49">
        <f aca="true" t="shared" si="1" ref="D29:L29">SUM(D9:D28)</f>
        <v>733927</v>
      </c>
      <c r="E29" s="49">
        <f t="shared" si="1"/>
        <v>628643.65</v>
      </c>
      <c r="F29" s="49">
        <f t="shared" si="1"/>
        <v>1358480</v>
      </c>
      <c r="G29" s="49">
        <f t="shared" si="1"/>
        <v>1633242.0600000003</v>
      </c>
      <c r="H29" s="49">
        <f t="shared" si="1"/>
        <v>1304080</v>
      </c>
      <c r="I29" s="49">
        <f t="shared" si="1"/>
        <v>929682.7</v>
      </c>
      <c r="J29" s="49">
        <f t="shared" si="1"/>
        <v>749410</v>
      </c>
      <c r="K29" s="49">
        <f t="shared" si="1"/>
        <v>865279</v>
      </c>
      <c r="L29" s="49">
        <f t="shared" si="1"/>
        <v>909227</v>
      </c>
      <c r="M29" s="49">
        <f>SUM(M9:M28)</f>
        <v>1155897.2699999998</v>
      </c>
      <c r="N29" s="49">
        <f>SUM(N9:N28)</f>
        <v>964772</v>
      </c>
      <c r="O29" s="49">
        <f>SUM(O9:O28)</f>
        <v>1029451.6599999999</v>
      </c>
      <c r="P29" s="49">
        <f>SUM(P9:P28)</f>
        <v>340159</v>
      </c>
    </row>
    <row r="30" spans="1:16" ht="14.25" customHeight="1">
      <c r="A30" s="35">
        <f t="shared" si="0"/>
        <v>22</v>
      </c>
      <c r="B30" s="36" t="s">
        <v>33</v>
      </c>
      <c r="C30" s="50">
        <v>682</v>
      </c>
      <c r="D30" s="38">
        <v>90000</v>
      </c>
      <c r="E30" s="38">
        <v>97457</v>
      </c>
      <c r="F30" s="38">
        <v>90000</v>
      </c>
      <c r="G30" s="38">
        <v>106634</v>
      </c>
      <c r="H30" s="177">
        <v>100000</v>
      </c>
      <c r="I30" s="177">
        <v>112384</v>
      </c>
      <c r="J30" s="177">
        <v>100000</v>
      </c>
      <c r="K30" s="177">
        <v>119884</v>
      </c>
      <c r="L30" s="177">
        <v>110000</v>
      </c>
      <c r="M30" s="177">
        <v>95201</v>
      </c>
      <c r="N30" s="177">
        <v>95000</v>
      </c>
      <c r="O30" s="177">
        <v>101212</v>
      </c>
      <c r="P30" s="177"/>
    </row>
    <row r="31" spans="1:16" ht="14.25" customHeight="1">
      <c r="A31" s="35">
        <f>A30+1</f>
        <v>23</v>
      </c>
      <c r="B31" s="36" t="s">
        <v>34</v>
      </c>
      <c r="C31" s="50">
        <v>682</v>
      </c>
      <c r="D31" s="38">
        <v>30000</v>
      </c>
      <c r="E31" s="38">
        <v>30500</v>
      </c>
      <c r="F31" s="38">
        <v>30000</v>
      </c>
      <c r="G31" s="38">
        <v>41500</v>
      </c>
      <c r="H31" s="177">
        <v>30000</v>
      </c>
      <c r="I31" s="177">
        <v>50100</v>
      </c>
      <c r="J31" s="177">
        <v>40000</v>
      </c>
      <c r="K31" s="177">
        <v>65002</v>
      </c>
      <c r="L31" s="177">
        <v>60000</v>
      </c>
      <c r="M31" s="177">
        <v>72520</v>
      </c>
      <c r="N31" s="177">
        <v>60000</v>
      </c>
      <c r="O31" s="177">
        <v>86900</v>
      </c>
      <c r="P31" s="177"/>
    </row>
    <row r="32" spans="1:16" ht="14.25" customHeight="1">
      <c r="A32" s="35">
        <f t="shared" si="0"/>
        <v>24</v>
      </c>
      <c r="B32" s="36" t="s">
        <v>35</v>
      </c>
      <c r="C32" s="50">
        <v>682</v>
      </c>
      <c r="D32" s="38">
        <v>0</v>
      </c>
      <c r="E32" s="38">
        <v>0</v>
      </c>
      <c r="F32" s="38">
        <v>0</v>
      </c>
      <c r="G32" s="38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/>
    </row>
    <row r="33" spans="1:16" ht="14.25" customHeight="1">
      <c r="A33" s="35">
        <f t="shared" si="0"/>
        <v>25</v>
      </c>
      <c r="B33" s="36" t="s">
        <v>36</v>
      </c>
      <c r="C33" s="50">
        <v>682</v>
      </c>
      <c r="D33" s="38">
        <v>370000</v>
      </c>
      <c r="E33" s="38">
        <v>382470</v>
      </c>
      <c r="F33" s="38">
        <v>390000</v>
      </c>
      <c r="G33" s="38">
        <v>391820</v>
      </c>
      <c r="H33" s="177">
        <v>400000</v>
      </c>
      <c r="I33" s="177">
        <v>407627</v>
      </c>
      <c r="J33" s="177">
        <v>420000</v>
      </c>
      <c r="K33" s="177">
        <v>447230</v>
      </c>
      <c r="L33" s="177">
        <v>530000</v>
      </c>
      <c r="M33" s="177">
        <v>577670</v>
      </c>
      <c r="N33" s="177">
        <v>580000</v>
      </c>
      <c r="O33" s="177">
        <v>626250</v>
      </c>
      <c r="P33" s="177"/>
    </row>
    <row r="34" spans="1:16" s="194" customFormat="1" ht="14.25" customHeight="1" hidden="1">
      <c r="A34" s="195"/>
      <c r="B34" s="196" t="s">
        <v>142</v>
      </c>
      <c r="C34" s="197"/>
      <c r="D34" s="181"/>
      <c r="E34" s="181"/>
      <c r="F34" s="181"/>
      <c r="G34" s="181"/>
      <c r="H34" s="181"/>
      <c r="I34" s="181"/>
      <c r="J34" s="181"/>
      <c r="K34" s="181">
        <f>SUM(K30:K33)</f>
        <v>632116</v>
      </c>
      <c r="L34" s="181">
        <f>SUM(L30:L33)</f>
        <v>700000</v>
      </c>
      <c r="M34" s="181">
        <f>SUM(M30:M33)</f>
        <v>745391</v>
      </c>
      <c r="N34" s="181">
        <v>750000</v>
      </c>
      <c r="O34" s="181"/>
      <c r="P34" s="181"/>
    </row>
    <row r="35" spans="1:16" s="8" customFormat="1" ht="14.25" customHeight="1">
      <c r="A35" s="35">
        <f>A33+1</f>
        <v>26</v>
      </c>
      <c r="B35" s="43" t="s">
        <v>37</v>
      </c>
      <c r="C35" s="37" t="s">
        <v>38</v>
      </c>
      <c r="D35" s="42">
        <v>52000</v>
      </c>
      <c r="E35" s="42">
        <v>72421</v>
      </c>
      <c r="F35" s="42">
        <v>70000</v>
      </c>
      <c r="G35" s="42">
        <v>88555</v>
      </c>
      <c r="H35" s="178">
        <v>117500</v>
      </c>
      <c r="I35" s="178">
        <f>141595.1+6370</f>
        <v>147965.1</v>
      </c>
      <c r="J35" s="178">
        <v>140000</v>
      </c>
      <c r="K35" s="178">
        <f>168245+10370</f>
        <v>178615</v>
      </c>
      <c r="L35" s="178">
        <f>45000+18000+82300</f>
        <v>145300</v>
      </c>
      <c r="M35" s="178">
        <f>155025.1+4860</f>
        <v>159885.1</v>
      </c>
      <c r="N35" s="178">
        <v>145000</v>
      </c>
      <c r="O35" s="178">
        <f>158659.1+10612</f>
        <v>169271.1</v>
      </c>
      <c r="P35" s="178"/>
    </row>
    <row r="36" spans="1:16" s="8" customFormat="1" ht="14.25" customHeight="1">
      <c r="A36" s="35">
        <f t="shared" si="0"/>
        <v>27</v>
      </c>
      <c r="B36" s="41" t="s">
        <v>39</v>
      </c>
      <c r="C36" s="37" t="s">
        <v>40</v>
      </c>
      <c r="D36" s="42">
        <v>55000</v>
      </c>
      <c r="E36" s="42">
        <v>673573.11</v>
      </c>
      <c r="F36" s="42">
        <v>705000</v>
      </c>
      <c r="G36" s="42">
        <v>915770.17</v>
      </c>
      <c r="H36" s="178">
        <f>221000+260000+50000</f>
        <v>531000</v>
      </c>
      <c r="I36" s="178">
        <f>84341+143065+58900+5252.04</f>
        <v>291558.04</v>
      </c>
      <c r="J36" s="178">
        <v>40000</v>
      </c>
      <c r="K36" s="178">
        <f>44700+4576</f>
        <v>49276</v>
      </c>
      <c r="L36" s="178">
        <v>50000</v>
      </c>
      <c r="M36" s="178">
        <f>4136.13+261632+79900</f>
        <v>345668.13</v>
      </c>
      <c r="N36" s="178">
        <v>50000</v>
      </c>
      <c r="O36" s="178">
        <f>42200+167523+4062.11</f>
        <v>213785.11</v>
      </c>
      <c r="P36" s="178"/>
    </row>
    <row r="37" spans="1:16" s="8" customFormat="1" ht="14.25" customHeight="1">
      <c r="A37" s="35">
        <f>A36+1</f>
        <v>28</v>
      </c>
      <c r="B37" s="41" t="s">
        <v>41</v>
      </c>
      <c r="C37" s="37" t="s">
        <v>42</v>
      </c>
      <c r="D37" s="38">
        <v>0</v>
      </c>
      <c r="E37" s="38">
        <v>0</v>
      </c>
      <c r="F37" s="38">
        <v>0</v>
      </c>
      <c r="G37" s="38">
        <v>150000</v>
      </c>
      <c r="H37" s="177">
        <v>0</v>
      </c>
      <c r="I37" s="177"/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/>
    </row>
    <row r="38" spans="1:16" s="8" customFormat="1" ht="14.25" customHeight="1">
      <c r="A38" s="35">
        <f t="shared" si="0"/>
        <v>29</v>
      </c>
      <c r="B38" s="41" t="s">
        <v>43</v>
      </c>
      <c r="C38" s="37">
        <v>681</v>
      </c>
      <c r="D38" s="38">
        <v>0</v>
      </c>
      <c r="E38" s="38">
        <v>18500</v>
      </c>
      <c r="F38" s="38">
        <v>20000</v>
      </c>
      <c r="G38" s="38">
        <v>20000</v>
      </c>
      <c r="H38" s="177">
        <v>21660</v>
      </c>
      <c r="I38" s="177">
        <v>21680</v>
      </c>
      <c r="J38" s="177">
        <v>25800</v>
      </c>
      <c r="K38" s="177">
        <v>27800</v>
      </c>
      <c r="L38" s="177">
        <v>32000</v>
      </c>
      <c r="M38" s="177">
        <v>32000</v>
      </c>
      <c r="N38" s="178">
        <v>40000</v>
      </c>
      <c r="O38" s="178">
        <v>40000</v>
      </c>
      <c r="P38" s="178"/>
    </row>
    <row r="39" spans="1:16" ht="14.25" customHeight="1">
      <c r="A39" s="35">
        <f t="shared" si="0"/>
        <v>30</v>
      </c>
      <c r="B39" s="36" t="s">
        <v>44</v>
      </c>
      <c r="C39" s="37">
        <v>691</v>
      </c>
      <c r="D39" s="38">
        <v>60000</v>
      </c>
      <c r="E39" s="38">
        <v>67900</v>
      </c>
      <c r="F39" s="38">
        <v>0</v>
      </c>
      <c r="G39" s="38">
        <v>137000</v>
      </c>
      <c r="H39" s="177">
        <v>0</v>
      </c>
      <c r="I39" s="177">
        <v>131400</v>
      </c>
      <c r="J39" s="177">
        <v>0</v>
      </c>
      <c r="K39" s="177">
        <v>115800</v>
      </c>
      <c r="L39" s="177">
        <v>0</v>
      </c>
      <c r="M39" s="177">
        <v>135000</v>
      </c>
      <c r="N39" s="177">
        <v>0</v>
      </c>
      <c r="O39" s="177">
        <v>130000</v>
      </c>
      <c r="P39" s="177"/>
    </row>
    <row r="40" spans="1:16" ht="14.25" customHeight="1">
      <c r="A40" s="35">
        <f t="shared" si="0"/>
        <v>31</v>
      </c>
      <c r="B40" s="51" t="s">
        <v>45</v>
      </c>
      <c r="C40" s="52" t="s">
        <v>46</v>
      </c>
      <c r="D40" s="53">
        <f aca="true" t="shared" si="2" ref="D40:J40">SUM(D30:D39)</f>
        <v>657000</v>
      </c>
      <c r="E40" s="53">
        <f t="shared" si="2"/>
        <v>1342821.1099999999</v>
      </c>
      <c r="F40" s="53">
        <f t="shared" si="2"/>
        <v>1305000</v>
      </c>
      <c r="G40" s="53">
        <f t="shared" si="2"/>
        <v>1851279.17</v>
      </c>
      <c r="H40" s="53">
        <f t="shared" si="2"/>
        <v>1200160</v>
      </c>
      <c r="I40" s="53">
        <f t="shared" si="2"/>
        <v>1162714.14</v>
      </c>
      <c r="J40" s="53">
        <f t="shared" si="2"/>
        <v>765800</v>
      </c>
      <c r="K40" s="53">
        <f>SUM(K30:K39)-K34</f>
        <v>1003607</v>
      </c>
      <c r="L40" s="53">
        <f>SUM(L30:L39)-L34</f>
        <v>927300</v>
      </c>
      <c r="M40" s="53">
        <f>SUM(M30:M39)-M34</f>
        <v>1417944.23</v>
      </c>
      <c r="N40" s="53">
        <f>SUM(N30:N39)-N34</f>
        <v>970000</v>
      </c>
      <c r="O40" s="53">
        <f>SUM(O30:O39)-O34</f>
        <v>1367418.21</v>
      </c>
      <c r="P40" s="53"/>
    </row>
    <row r="41" spans="1:16" ht="14.25" customHeight="1" thickBot="1">
      <c r="A41" s="35">
        <f t="shared" si="0"/>
        <v>32</v>
      </c>
      <c r="B41" s="54" t="s">
        <v>47</v>
      </c>
      <c r="C41" s="55" t="s">
        <v>48</v>
      </c>
      <c r="D41" s="56">
        <f aca="true" t="shared" si="3" ref="D41:O41">D40-D29</f>
        <v>-76927</v>
      </c>
      <c r="E41" s="56">
        <f t="shared" si="3"/>
        <v>714177.4599999998</v>
      </c>
      <c r="F41" s="56">
        <f t="shared" si="3"/>
        <v>-53480</v>
      </c>
      <c r="G41" s="56">
        <f t="shared" si="3"/>
        <v>218037.10999999964</v>
      </c>
      <c r="H41" s="56">
        <f t="shared" si="3"/>
        <v>-103920</v>
      </c>
      <c r="I41" s="56">
        <f t="shared" si="3"/>
        <v>233031.43999999994</v>
      </c>
      <c r="J41" s="56">
        <f t="shared" si="3"/>
        <v>16390</v>
      </c>
      <c r="K41" s="56">
        <f t="shared" si="3"/>
        <v>138328</v>
      </c>
      <c r="L41" s="56">
        <f t="shared" si="3"/>
        <v>18073</v>
      </c>
      <c r="M41" s="56">
        <f t="shared" si="3"/>
        <v>262046.9600000002</v>
      </c>
      <c r="N41" s="56">
        <f t="shared" si="3"/>
        <v>5228</v>
      </c>
      <c r="O41" s="56">
        <f t="shared" si="3"/>
        <v>337966.55000000005</v>
      </c>
      <c r="P41" s="56">
        <f>P40-P29</f>
        <v>-340159</v>
      </c>
    </row>
    <row r="42" spans="1:17" s="8" customFormat="1" ht="15.75" customHeight="1">
      <c r="A42" s="57"/>
      <c r="B42" s="58" t="s">
        <v>49</v>
      </c>
      <c r="C42" s="59"/>
      <c r="D42" s="60">
        <v>500000</v>
      </c>
      <c r="E42" s="60">
        <v>484780</v>
      </c>
      <c r="F42" s="60">
        <v>0</v>
      </c>
      <c r="G42" s="60"/>
      <c r="H42" s="182"/>
      <c r="I42" s="182"/>
      <c r="J42" s="182"/>
      <c r="K42" s="182"/>
      <c r="L42" s="182"/>
      <c r="M42" s="182"/>
      <c r="N42" s="182"/>
      <c r="O42" s="182"/>
      <c r="P42" s="182"/>
      <c r="Q42" s="8" t="s">
        <v>157</v>
      </c>
    </row>
    <row r="43" spans="1:16" s="8" customFormat="1" ht="15.75" customHeight="1">
      <c r="A43" s="61"/>
      <c r="B43" s="62" t="s">
        <v>50</v>
      </c>
      <c r="C43" s="63"/>
      <c r="D43" s="64">
        <v>0</v>
      </c>
      <c r="E43" s="64">
        <v>0</v>
      </c>
      <c r="F43" s="64">
        <v>0</v>
      </c>
      <c r="G43" s="64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s="8" customFormat="1" ht="15.75" customHeight="1">
      <c r="A44" s="61"/>
      <c r="B44" s="62" t="s">
        <v>51</v>
      </c>
      <c r="C44" s="63"/>
      <c r="D44" s="65">
        <v>0</v>
      </c>
      <c r="E44" s="65">
        <v>0</v>
      </c>
      <c r="F44" s="65">
        <v>0</v>
      </c>
      <c r="G44" s="65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s="8" customFormat="1" ht="15.75" customHeight="1" thickBot="1">
      <c r="A45" s="66"/>
      <c r="B45" s="67" t="s">
        <v>52</v>
      </c>
      <c r="C45" s="68"/>
      <c r="D45" s="69">
        <v>0</v>
      </c>
      <c r="E45" s="69">
        <v>0</v>
      </c>
      <c r="F45" s="69">
        <v>0</v>
      </c>
      <c r="G45" s="69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 s="8" customFormat="1" ht="15.75" customHeight="1" thickBot="1">
      <c r="A46" s="70"/>
      <c r="B46" s="71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ht="16.5" customHeight="1" thickBot="1">
      <c r="A47" s="142"/>
      <c r="B47" s="199" t="s">
        <v>53</v>
      </c>
      <c r="C47" s="199"/>
      <c r="D47" s="132"/>
      <c r="E47" s="131" t="s">
        <v>127</v>
      </c>
      <c r="F47" s="133"/>
      <c r="G47" s="131" t="s">
        <v>130</v>
      </c>
      <c r="H47" s="186" t="s">
        <v>131</v>
      </c>
      <c r="I47" s="186" t="s">
        <v>134</v>
      </c>
      <c r="J47" s="186" t="s">
        <v>135</v>
      </c>
      <c r="K47" s="186" t="s">
        <v>139</v>
      </c>
      <c r="L47" s="186" t="s">
        <v>140</v>
      </c>
      <c r="M47" s="186" t="s">
        <v>143</v>
      </c>
      <c r="N47" s="186" t="s">
        <v>146</v>
      </c>
      <c r="O47" s="186" t="s">
        <v>145</v>
      </c>
      <c r="P47" s="186" t="s">
        <v>145</v>
      </c>
    </row>
    <row r="48" spans="1:16" ht="16.5" customHeight="1">
      <c r="A48" s="143"/>
      <c r="B48" s="200" t="s">
        <v>56</v>
      </c>
      <c r="C48" s="200"/>
      <c r="D48" s="74"/>
      <c r="E48" s="74">
        <f>SUM(E49:E55)</f>
        <v>14145781</v>
      </c>
      <c r="F48" s="144"/>
      <c r="G48" s="144">
        <f aca="true" t="shared" si="4" ref="G48:O48">SUM(G49:G55)</f>
        <v>15277184.5</v>
      </c>
      <c r="H48" s="187">
        <f t="shared" si="4"/>
        <v>15396864.06</v>
      </c>
      <c r="I48" s="187">
        <f t="shared" si="4"/>
        <v>15396864.06</v>
      </c>
      <c r="J48" s="187">
        <f t="shared" si="4"/>
        <v>15724140.06</v>
      </c>
      <c r="K48" s="187">
        <f t="shared" si="4"/>
        <v>15724140</v>
      </c>
      <c r="L48" s="187">
        <f t="shared" si="4"/>
        <v>15904916</v>
      </c>
      <c r="M48" s="187">
        <f t="shared" si="4"/>
        <v>16019954.85</v>
      </c>
      <c r="N48" s="187">
        <f>M48</f>
        <v>16019954.85</v>
      </c>
      <c r="O48" s="187">
        <f t="shared" si="4"/>
        <v>16622946.4</v>
      </c>
      <c r="P48" s="187">
        <f>SUM(P49:P55)</f>
        <v>0</v>
      </c>
    </row>
    <row r="49" spans="1:16" ht="15.75" customHeight="1">
      <c r="A49" s="145" t="s">
        <v>57</v>
      </c>
      <c r="B49" s="201" t="s">
        <v>58</v>
      </c>
      <c r="C49" s="201"/>
      <c r="D49" s="75"/>
      <c r="E49" s="75">
        <v>13108618</v>
      </c>
      <c r="F49" s="138"/>
      <c r="G49" s="138">
        <f>3975911+9941492.86</f>
        <v>13917403.86</v>
      </c>
      <c r="H49" s="188">
        <f>3975911+9921627.06</f>
        <v>13897538.06</v>
      </c>
      <c r="I49" s="188">
        <f>3975911+9921627.06</f>
        <v>13897538.06</v>
      </c>
      <c r="J49" s="188">
        <f>3975911+9921627.06</f>
        <v>13897538.06</v>
      </c>
      <c r="K49" s="188">
        <v>13897538</v>
      </c>
      <c r="L49" s="188">
        <f>14026680-L51</f>
        <v>14764381</v>
      </c>
      <c r="M49" s="188">
        <f>14063456.06-M51</f>
        <v>14805703.06</v>
      </c>
      <c r="N49" s="188">
        <f>M49</f>
        <v>14805703.06</v>
      </c>
      <c r="O49" s="188">
        <f>14054262.06-O51</f>
        <v>14764382.06</v>
      </c>
      <c r="P49" s="188"/>
    </row>
    <row r="50" spans="1:16" ht="15.75" customHeight="1">
      <c r="A50" s="146" t="s">
        <v>59</v>
      </c>
      <c r="B50" s="201" t="s">
        <v>60</v>
      </c>
      <c r="C50" s="201"/>
      <c r="D50" s="75"/>
      <c r="E50" s="75">
        <v>0</v>
      </c>
      <c r="F50" s="138"/>
      <c r="G50" s="13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/>
      <c r="N50" s="188">
        <f aca="true" t="shared" si="5" ref="N50:N55">M50</f>
        <v>0</v>
      </c>
      <c r="O50" s="188">
        <v>0</v>
      </c>
      <c r="P50" s="188"/>
    </row>
    <row r="51" spans="1:16" ht="15.75" customHeight="1">
      <c r="A51" s="145" t="s">
        <v>61</v>
      </c>
      <c r="B51" s="201" t="s">
        <v>62</v>
      </c>
      <c r="C51" s="201"/>
      <c r="D51" s="75"/>
      <c r="E51" s="75">
        <v>-659573</v>
      </c>
      <c r="F51" s="138"/>
      <c r="G51" s="138">
        <v>-737701</v>
      </c>
      <c r="H51" s="188">
        <v>-737701</v>
      </c>
      <c r="I51" s="188">
        <v>-737701</v>
      </c>
      <c r="J51" s="188">
        <v>-737701</v>
      </c>
      <c r="K51" s="188">
        <v>-737701</v>
      </c>
      <c r="L51" s="188">
        <v>-737701</v>
      </c>
      <c r="M51" s="188">
        <v>-742247</v>
      </c>
      <c r="N51" s="188">
        <f t="shared" si="5"/>
        <v>-742247</v>
      </c>
      <c r="O51" s="188">
        <v>-710120</v>
      </c>
      <c r="P51" s="188"/>
    </row>
    <row r="52" spans="1:16" ht="15.75" customHeight="1">
      <c r="A52" s="145" t="s">
        <v>63</v>
      </c>
      <c r="B52" s="201" t="s">
        <v>64</v>
      </c>
      <c r="C52" s="201"/>
      <c r="D52" s="75"/>
      <c r="E52" s="75">
        <v>6439</v>
      </c>
      <c r="F52" s="138"/>
      <c r="G52" s="138">
        <v>2525</v>
      </c>
      <c r="H52" s="188">
        <v>5000</v>
      </c>
      <c r="I52" s="188">
        <v>5000</v>
      </c>
      <c r="J52" s="188">
        <v>8478</v>
      </c>
      <c r="K52" s="188">
        <v>8478</v>
      </c>
      <c r="L52" s="188">
        <v>9539</v>
      </c>
      <c r="M52" s="188">
        <v>12047.51</v>
      </c>
      <c r="N52" s="188">
        <f t="shared" si="5"/>
        <v>12047.51</v>
      </c>
      <c r="O52" s="188">
        <v>23030</v>
      </c>
      <c r="P52" s="188"/>
    </row>
    <row r="53" spans="1:16" ht="15.75" customHeight="1">
      <c r="A53" s="145" t="s">
        <v>65</v>
      </c>
      <c r="B53" s="201" t="s">
        <v>66</v>
      </c>
      <c r="C53" s="201"/>
      <c r="D53" s="75"/>
      <c r="E53" s="75">
        <v>42895</v>
      </c>
      <c r="F53" s="138"/>
      <c r="G53" s="138">
        <f>70000+28120</f>
        <v>98120</v>
      </c>
      <c r="H53" s="188">
        <v>107600</v>
      </c>
      <c r="I53" s="188">
        <v>107600</v>
      </c>
      <c r="J53" s="188">
        <f>70000+56180</f>
        <v>126180</v>
      </c>
      <c r="K53" s="188">
        <v>126180</v>
      </c>
      <c r="L53" s="188">
        <f>125078.41-5198.41</f>
        <v>119880</v>
      </c>
      <c r="M53" s="188">
        <f>126514-4554</f>
        <v>121960</v>
      </c>
      <c r="N53" s="188">
        <f t="shared" si="5"/>
        <v>121960</v>
      </c>
      <c r="O53" s="188">
        <f>235020-O55</f>
        <v>231000</v>
      </c>
      <c r="P53" s="188"/>
    </row>
    <row r="54" spans="1:16" ht="15.75" customHeight="1">
      <c r="A54" s="145" t="s">
        <v>67</v>
      </c>
      <c r="B54" s="201" t="s">
        <v>68</v>
      </c>
      <c r="C54" s="201"/>
      <c r="D54" s="75"/>
      <c r="E54" s="75">
        <v>1646547</v>
      </c>
      <c r="F54" s="138"/>
      <c r="G54" s="138">
        <v>1996516</v>
      </c>
      <c r="H54" s="188">
        <v>2118152</v>
      </c>
      <c r="I54" s="188">
        <v>2118152</v>
      </c>
      <c r="J54" s="188">
        <f>2311313+112600</f>
        <v>2423913</v>
      </c>
      <c r="K54" s="188">
        <v>2423913</v>
      </c>
      <c r="L54" s="188">
        <f>99600+1644018</f>
        <v>1743618</v>
      </c>
      <c r="M54" s="188">
        <f>136327+1681610.28</f>
        <v>1817937.28</v>
      </c>
      <c r="N54" s="188">
        <f t="shared" si="5"/>
        <v>1817937.28</v>
      </c>
      <c r="O54" s="188">
        <f>110425+2200209.34</f>
        <v>2310634.34</v>
      </c>
      <c r="P54" s="188"/>
    </row>
    <row r="55" spans="1:16" ht="15.75" customHeight="1" thickBot="1">
      <c r="A55" s="147" t="s">
        <v>69</v>
      </c>
      <c r="B55" s="202" t="s">
        <v>70</v>
      </c>
      <c r="C55" s="202"/>
      <c r="D55" s="148"/>
      <c r="E55" s="148">
        <v>855</v>
      </c>
      <c r="F55" s="149"/>
      <c r="G55" s="149">
        <v>320.64</v>
      </c>
      <c r="H55" s="189">
        <v>6275</v>
      </c>
      <c r="I55" s="189">
        <v>6275</v>
      </c>
      <c r="J55" s="189">
        <v>5732</v>
      </c>
      <c r="K55" s="189">
        <v>5732</v>
      </c>
      <c r="L55" s="189">
        <v>5199</v>
      </c>
      <c r="M55" s="189">
        <v>4554</v>
      </c>
      <c r="N55" s="188">
        <f t="shared" si="5"/>
        <v>4554</v>
      </c>
      <c r="O55" s="189">
        <v>4020</v>
      </c>
      <c r="P55" s="189"/>
    </row>
    <row r="56" spans="1:16" ht="16.5" customHeight="1" thickBot="1">
      <c r="A56" s="203"/>
      <c r="B56" s="203"/>
      <c r="C56" s="203"/>
      <c r="D56" s="203"/>
      <c r="E56" s="2"/>
      <c r="F56" s="2"/>
      <c r="G56" s="2"/>
      <c r="H56" s="176"/>
      <c r="I56" s="176"/>
      <c r="J56" s="176"/>
      <c r="K56" s="176"/>
      <c r="L56" s="176"/>
      <c r="M56" s="176"/>
      <c r="N56" s="176"/>
      <c r="O56" s="176"/>
      <c r="P56" s="176"/>
    </row>
    <row r="57" spans="1:16" ht="16.5" customHeight="1" thickBot="1">
      <c r="A57" s="130"/>
      <c r="B57" s="204" t="s">
        <v>71</v>
      </c>
      <c r="C57" s="204"/>
      <c r="D57" s="132" t="s">
        <v>55</v>
      </c>
      <c r="E57" s="131" t="s">
        <v>54</v>
      </c>
      <c r="F57" s="133"/>
      <c r="G57" s="133"/>
      <c r="H57" s="186"/>
      <c r="I57" s="186"/>
      <c r="J57" s="186"/>
      <c r="K57" s="186"/>
      <c r="L57" s="186"/>
      <c r="M57" s="186"/>
      <c r="N57" s="186" t="s">
        <v>146</v>
      </c>
      <c r="O57" s="186" t="s">
        <v>145</v>
      </c>
      <c r="P57" s="186" t="s">
        <v>145</v>
      </c>
    </row>
    <row r="58" spans="1:16" ht="16.5" customHeight="1">
      <c r="A58" s="134"/>
      <c r="B58" s="205" t="s">
        <v>72</v>
      </c>
      <c r="C58" s="205"/>
      <c r="D58" s="76"/>
      <c r="E58" s="76">
        <f>SUM(E70+E66+E59)</f>
        <v>14145781</v>
      </c>
      <c r="F58" s="135"/>
      <c r="G58" s="135">
        <f aca="true" t="shared" si="6" ref="G58:M58">SUM(G70+G66+G59)</f>
        <v>15277185</v>
      </c>
      <c r="H58" s="190">
        <f t="shared" si="6"/>
        <v>15396864</v>
      </c>
      <c r="I58" s="190">
        <f t="shared" si="6"/>
        <v>15396864</v>
      </c>
      <c r="J58" s="190">
        <f t="shared" si="6"/>
        <v>15724139.99</v>
      </c>
      <c r="K58" s="190">
        <f t="shared" si="6"/>
        <v>15724140</v>
      </c>
      <c r="L58" s="190">
        <f t="shared" si="6"/>
        <v>15904916</v>
      </c>
      <c r="M58" s="190">
        <f t="shared" si="6"/>
        <v>16019954.850000001</v>
      </c>
      <c r="N58" s="190">
        <f aca="true" t="shared" si="7" ref="N58:N70">M58</f>
        <v>16019954.850000001</v>
      </c>
      <c r="O58" s="190">
        <f>SUM(O70+O66+O59)</f>
        <v>16622946.4</v>
      </c>
      <c r="P58" s="190">
        <f>SUM(P70+P66+P59)</f>
        <v>0</v>
      </c>
    </row>
    <row r="59" spans="1:16" ht="15.75" customHeight="1">
      <c r="A59" s="136" t="s">
        <v>73</v>
      </c>
      <c r="B59" s="206" t="s">
        <v>74</v>
      </c>
      <c r="C59" s="206"/>
      <c r="D59" s="77"/>
      <c r="E59" s="77">
        <f>SUM(E60:E65)</f>
        <v>14057787</v>
      </c>
      <c r="F59" s="137"/>
      <c r="G59" s="137">
        <f aca="true" t="shared" si="8" ref="G59:M59">SUM(G60:G65)</f>
        <v>15228790</v>
      </c>
      <c r="H59" s="191">
        <f t="shared" si="8"/>
        <v>15304734</v>
      </c>
      <c r="I59" s="191">
        <f t="shared" si="8"/>
        <v>15304734</v>
      </c>
      <c r="J59" s="191">
        <f t="shared" si="8"/>
        <v>15543996</v>
      </c>
      <c r="K59" s="191">
        <f t="shared" si="8"/>
        <v>15543996</v>
      </c>
      <c r="L59" s="191">
        <f t="shared" si="8"/>
        <v>15810988</v>
      </c>
      <c r="M59" s="191">
        <f t="shared" si="8"/>
        <v>15954134.850000001</v>
      </c>
      <c r="N59" s="191">
        <f t="shared" si="7"/>
        <v>15954134.850000001</v>
      </c>
      <c r="O59" s="191">
        <f>SUM(O60:O65)</f>
        <v>16549458.4</v>
      </c>
      <c r="P59" s="191">
        <f>SUM(P60:P65)</f>
        <v>0</v>
      </c>
    </row>
    <row r="60" spans="1:16" ht="15.75" customHeight="1">
      <c r="A60" s="136" t="s">
        <v>57</v>
      </c>
      <c r="B60" s="207" t="s">
        <v>75</v>
      </c>
      <c r="C60" s="207"/>
      <c r="D60" s="79"/>
      <c r="E60" s="79">
        <v>13552261</v>
      </c>
      <c r="F60" s="138"/>
      <c r="G60" s="138">
        <v>14127585</v>
      </c>
      <c r="H60" s="188">
        <v>14310643</v>
      </c>
      <c r="I60" s="188">
        <v>14310643</v>
      </c>
      <c r="J60" s="188">
        <v>14528680</v>
      </c>
      <c r="K60" s="188">
        <v>14528680</v>
      </c>
      <c r="L60" s="188">
        <v>15475888</v>
      </c>
      <c r="M60" s="188">
        <v>15611316.89</v>
      </c>
      <c r="N60" s="188">
        <f t="shared" si="7"/>
        <v>15611316.89</v>
      </c>
      <c r="O60" s="188">
        <v>15873363.85</v>
      </c>
      <c r="P60" s="188"/>
    </row>
    <row r="61" spans="1:16" ht="15.75" customHeight="1">
      <c r="A61" s="136" t="s">
        <v>59</v>
      </c>
      <c r="B61" s="207" t="s">
        <v>76</v>
      </c>
      <c r="C61" s="207"/>
      <c r="D61" s="79"/>
      <c r="E61" s="79">
        <v>472150</v>
      </c>
      <c r="F61" s="138"/>
      <c r="G61" s="138">
        <v>387027</v>
      </c>
      <c r="H61" s="188">
        <v>776054</v>
      </c>
      <c r="I61" s="188">
        <v>776054</v>
      </c>
      <c r="J61" s="188">
        <v>782285</v>
      </c>
      <c r="K61" s="188">
        <v>782285</v>
      </c>
      <c r="L61" s="188">
        <v>196772</v>
      </c>
      <c r="M61" s="188">
        <v>80771</v>
      </c>
      <c r="N61" s="188">
        <f t="shared" si="7"/>
        <v>80771</v>
      </c>
      <c r="O61" s="188">
        <v>338128</v>
      </c>
      <c r="P61" s="188"/>
    </row>
    <row r="62" spans="1:16" ht="15.75" customHeight="1">
      <c r="A62" s="136" t="s">
        <v>61</v>
      </c>
      <c r="B62" s="207" t="s">
        <v>77</v>
      </c>
      <c r="C62" s="207"/>
      <c r="D62" s="79"/>
      <c r="E62" s="79">
        <v>0</v>
      </c>
      <c r="F62" s="138"/>
      <c r="G62" s="13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88">
        <v>0</v>
      </c>
      <c r="N62" s="188">
        <f t="shared" si="7"/>
        <v>0</v>
      </c>
      <c r="O62" s="188">
        <v>0</v>
      </c>
      <c r="P62" s="188"/>
    </row>
    <row r="63" spans="1:16" ht="15.75" customHeight="1">
      <c r="A63" s="136" t="s">
        <v>78</v>
      </c>
      <c r="B63" s="207" t="s">
        <v>79</v>
      </c>
      <c r="C63" s="207"/>
      <c r="D63" s="79"/>
      <c r="E63" s="79">
        <v>33376</v>
      </c>
      <c r="F63" s="138"/>
      <c r="G63" s="138">
        <v>714178</v>
      </c>
      <c r="H63" s="188">
        <v>218037</v>
      </c>
      <c r="I63" s="188">
        <v>218037</v>
      </c>
      <c r="J63" s="188">
        <v>233031</v>
      </c>
      <c r="K63" s="188">
        <v>233031</v>
      </c>
      <c r="L63" s="188">
        <v>138328</v>
      </c>
      <c r="M63" s="188">
        <v>262046.96</v>
      </c>
      <c r="N63" s="188">
        <f t="shared" si="7"/>
        <v>262046.96</v>
      </c>
      <c r="O63" s="188">
        <v>337966.55</v>
      </c>
      <c r="P63" s="188"/>
    </row>
    <row r="64" spans="1:16" ht="15.75" customHeight="1">
      <c r="A64" s="136" t="s">
        <v>80</v>
      </c>
      <c r="B64" s="208" t="s">
        <v>81</v>
      </c>
      <c r="C64" s="208"/>
      <c r="D64" s="79"/>
      <c r="E64" s="79">
        <v>0</v>
      </c>
      <c r="F64" s="138"/>
      <c r="G64" s="138">
        <v>0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8">
        <v>0</v>
      </c>
      <c r="N64" s="188">
        <f t="shared" si="7"/>
        <v>0</v>
      </c>
      <c r="O64" s="188">
        <v>0</v>
      </c>
      <c r="P64" s="188"/>
    </row>
    <row r="65" spans="1:16" ht="15.75" customHeight="1">
      <c r="A65" s="136" t="s">
        <v>82</v>
      </c>
      <c r="B65" s="78" t="s">
        <v>83</v>
      </c>
      <c r="C65" s="80"/>
      <c r="D65" s="79"/>
      <c r="E65" s="79">
        <v>0</v>
      </c>
      <c r="F65" s="138"/>
      <c r="G65" s="13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88">
        <v>0</v>
      </c>
      <c r="N65" s="188">
        <f t="shared" si="7"/>
        <v>0</v>
      </c>
      <c r="O65" s="188">
        <v>0</v>
      </c>
      <c r="P65" s="188"/>
    </row>
    <row r="66" spans="1:16" ht="15.75" customHeight="1">
      <c r="A66" s="136" t="s">
        <v>84</v>
      </c>
      <c r="B66" s="206" t="s">
        <v>85</v>
      </c>
      <c r="C66" s="206"/>
      <c r="D66" s="77"/>
      <c r="E66" s="77">
        <v>87994</v>
      </c>
      <c r="F66" s="137"/>
      <c r="G66" s="137">
        <f aca="true" t="shared" si="9" ref="G66:O66">SUM(G67:G69)</f>
        <v>18095</v>
      </c>
      <c r="H66" s="191">
        <f t="shared" si="9"/>
        <v>35630</v>
      </c>
      <c r="I66" s="191">
        <f t="shared" si="9"/>
        <v>35630</v>
      </c>
      <c r="J66" s="191">
        <f t="shared" si="9"/>
        <v>119143.99</v>
      </c>
      <c r="K66" s="191">
        <f t="shared" si="9"/>
        <v>119144</v>
      </c>
      <c r="L66" s="191">
        <f t="shared" si="9"/>
        <v>30578</v>
      </c>
      <c r="M66" s="191">
        <f t="shared" si="9"/>
        <v>5820</v>
      </c>
      <c r="N66" s="191">
        <f t="shared" si="7"/>
        <v>5820</v>
      </c>
      <c r="O66" s="191">
        <f t="shared" si="9"/>
        <v>9488</v>
      </c>
      <c r="P66" s="191">
        <f>SUM(P67:P69)</f>
        <v>0</v>
      </c>
    </row>
    <row r="67" spans="1:16" ht="15.75" customHeight="1">
      <c r="A67" s="136" t="s">
        <v>63</v>
      </c>
      <c r="B67" s="207" t="s">
        <v>86</v>
      </c>
      <c r="C67" s="207"/>
      <c r="D67" s="79"/>
      <c r="E67" s="79">
        <v>0</v>
      </c>
      <c r="F67" s="138"/>
      <c r="G67" s="138">
        <v>0</v>
      </c>
      <c r="H67" s="188">
        <v>0</v>
      </c>
      <c r="I67" s="188">
        <v>0</v>
      </c>
      <c r="J67" s="188">
        <v>0</v>
      </c>
      <c r="K67" s="188">
        <v>0</v>
      </c>
      <c r="L67" s="188"/>
      <c r="M67" s="188">
        <v>0</v>
      </c>
      <c r="N67" s="188">
        <f t="shared" si="7"/>
        <v>0</v>
      </c>
      <c r="O67" s="188"/>
      <c r="P67" s="188"/>
    </row>
    <row r="68" spans="1:16" ht="15.75" customHeight="1">
      <c r="A68" s="136" t="s">
        <v>65</v>
      </c>
      <c r="B68" s="207" t="s">
        <v>87</v>
      </c>
      <c r="C68" s="207"/>
      <c r="D68" s="79"/>
      <c r="E68" s="79">
        <v>0</v>
      </c>
      <c r="F68" s="138"/>
      <c r="G68" s="138">
        <v>0</v>
      </c>
      <c r="H68" s="188">
        <v>0</v>
      </c>
      <c r="I68" s="188">
        <v>0</v>
      </c>
      <c r="J68" s="188">
        <v>0</v>
      </c>
      <c r="K68" s="188">
        <v>0</v>
      </c>
      <c r="L68" s="188"/>
      <c r="M68" s="188">
        <v>0</v>
      </c>
      <c r="N68" s="188">
        <f t="shared" si="7"/>
        <v>0</v>
      </c>
      <c r="O68" s="188"/>
      <c r="P68" s="188"/>
    </row>
    <row r="69" spans="1:16" ht="15.75" customHeight="1">
      <c r="A69" s="136" t="s">
        <v>67</v>
      </c>
      <c r="B69" s="207" t="s">
        <v>88</v>
      </c>
      <c r="C69" s="207"/>
      <c r="D69" s="79"/>
      <c r="E69" s="79">
        <v>87994</v>
      </c>
      <c r="F69" s="138"/>
      <c r="G69" s="138">
        <f>11005+6865+225</f>
        <v>18095</v>
      </c>
      <c r="H69" s="188">
        <v>35630</v>
      </c>
      <c r="I69" s="188">
        <v>35630</v>
      </c>
      <c r="J69" s="188">
        <f>504.99+2530+116109</f>
        <v>119143.99</v>
      </c>
      <c r="K69" s="188">
        <v>119144</v>
      </c>
      <c r="L69" s="188">
        <f>25810+2755+2013</f>
        <v>30578</v>
      </c>
      <c r="M69" s="188">
        <f>4570+810+440</f>
        <v>5820</v>
      </c>
      <c r="N69" s="188">
        <f t="shared" si="7"/>
        <v>5820</v>
      </c>
      <c r="O69" s="188">
        <f>640+350+1168+6540-20+810</f>
        <v>9488</v>
      </c>
      <c r="P69" s="188"/>
    </row>
    <row r="70" spans="1:16" ht="15.75" customHeight="1" thickBot="1">
      <c r="A70" s="139" t="s">
        <v>89</v>
      </c>
      <c r="B70" s="209" t="s">
        <v>90</v>
      </c>
      <c r="C70" s="209"/>
      <c r="D70" s="140"/>
      <c r="E70" s="140">
        <v>0</v>
      </c>
      <c r="F70" s="141">
        <v>30300</v>
      </c>
      <c r="G70" s="141">
        <v>30300</v>
      </c>
      <c r="H70" s="192">
        <v>56500</v>
      </c>
      <c r="I70" s="192">
        <v>56500</v>
      </c>
      <c r="J70" s="192">
        <v>61000</v>
      </c>
      <c r="K70" s="192">
        <v>61000</v>
      </c>
      <c r="L70" s="192">
        <v>63350</v>
      </c>
      <c r="M70" s="192">
        <v>60000</v>
      </c>
      <c r="N70" s="192">
        <f t="shared" si="7"/>
        <v>60000</v>
      </c>
      <c r="O70" s="192">
        <v>64000</v>
      </c>
      <c r="P70" s="192"/>
    </row>
    <row r="71" spans="1:16" ht="12.75" customHeight="1">
      <c r="A71" s="2"/>
      <c r="C71" s="2"/>
      <c r="D71" s="2"/>
      <c r="E71" s="2"/>
      <c r="F71" s="2"/>
      <c r="G71" s="2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.5" customHeight="1">
      <c r="A72" s="2"/>
      <c r="B72" s="2" t="s">
        <v>91</v>
      </c>
      <c r="C72" s="2"/>
      <c r="D72" s="2"/>
      <c r="E72" s="2"/>
      <c r="F72" s="2"/>
      <c r="G72" s="2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.5" customHeight="1">
      <c r="A73" s="2"/>
      <c r="C73" s="2"/>
      <c r="D73" s="2"/>
      <c r="E73" s="2"/>
      <c r="F73" s="2"/>
      <c r="G73" s="2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2.75" customHeight="1">
      <c r="A74" s="2"/>
      <c r="C74" s="2"/>
      <c r="D74" s="2"/>
      <c r="E74" s="2"/>
      <c r="F74" s="2"/>
      <c r="G74" s="2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2.75" customHeight="1">
      <c r="A75" s="2"/>
      <c r="C75" s="2"/>
      <c r="D75" s="2"/>
      <c r="E75" s="2"/>
      <c r="F75" s="2"/>
      <c r="G75" s="2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2.75" customHeight="1">
      <c r="A76" s="2"/>
      <c r="C76" s="2"/>
      <c r="D76" s="2"/>
      <c r="E76" s="2"/>
      <c r="F76" s="2"/>
      <c r="G76" s="2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2.75" customHeight="1">
      <c r="A77" s="2"/>
      <c r="C77" s="2"/>
      <c r="D77" s="2"/>
      <c r="E77" s="2"/>
      <c r="F77" s="2"/>
      <c r="G77" s="2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2.75" customHeight="1">
      <c r="A78" s="2"/>
      <c r="C78" s="2"/>
      <c r="D78" s="2"/>
      <c r="E78" s="2"/>
      <c r="F78" s="2"/>
      <c r="G78" s="2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2.75" customHeight="1">
      <c r="A79" s="2"/>
      <c r="C79" s="2"/>
      <c r="D79" s="2"/>
      <c r="E79" s="2"/>
      <c r="F79" s="2"/>
      <c r="G79" s="2"/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2.75" customHeight="1">
      <c r="A80" s="2"/>
      <c r="C80" s="2"/>
      <c r="D80" s="2"/>
      <c r="E80" s="2"/>
      <c r="F80" s="2"/>
      <c r="G80" s="2"/>
      <c r="H80" s="176"/>
      <c r="I80" s="176"/>
      <c r="J80" s="176"/>
      <c r="K80" s="176"/>
      <c r="L80" s="176"/>
      <c r="M80" s="176"/>
      <c r="N80" s="176"/>
      <c r="O80" s="176"/>
      <c r="P80" s="176"/>
    </row>
    <row r="81" spans="1:16" ht="12.75" customHeight="1">
      <c r="A81" s="2"/>
      <c r="C81" s="2"/>
      <c r="D81" s="2"/>
      <c r="E81" s="2"/>
      <c r="F81" s="2"/>
      <c r="G81" s="2"/>
      <c r="H81" s="176"/>
      <c r="I81" s="176"/>
      <c r="J81" s="176"/>
      <c r="K81" s="176"/>
      <c r="L81" s="176"/>
      <c r="M81" s="176"/>
      <c r="N81" s="176"/>
      <c r="O81" s="176"/>
      <c r="P81" s="176"/>
    </row>
    <row r="82" spans="1:16" ht="12.75" customHeight="1">
      <c r="A82" s="2"/>
      <c r="C82" s="2"/>
      <c r="D82" s="2"/>
      <c r="E82" s="2"/>
      <c r="F82" s="2"/>
      <c r="G82" s="2"/>
      <c r="H82" s="176"/>
      <c r="I82" s="176"/>
      <c r="J82" s="176"/>
      <c r="K82" s="176"/>
      <c r="L82" s="176"/>
      <c r="M82" s="176"/>
      <c r="N82" s="176"/>
      <c r="O82" s="176"/>
      <c r="P82" s="176"/>
    </row>
    <row r="83" spans="1:16" ht="12.75" customHeight="1">
      <c r="A83" s="2"/>
      <c r="C83" s="2"/>
      <c r="D83" s="2"/>
      <c r="E83" s="2"/>
      <c r="F83" s="2"/>
      <c r="G83" s="2"/>
      <c r="H83" s="176"/>
      <c r="I83" s="176"/>
      <c r="J83" s="176"/>
      <c r="K83" s="176"/>
      <c r="L83" s="176"/>
      <c r="M83" s="176"/>
      <c r="N83" s="176"/>
      <c r="O83" s="176"/>
      <c r="P83" s="176"/>
    </row>
    <row r="84" spans="1:16" ht="12.75" customHeight="1">
      <c r="A84" s="2"/>
      <c r="C84" s="2"/>
      <c r="D84" s="2"/>
      <c r="E84" s="2"/>
      <c r="F84" s="2"/>
      <c r="G84" s="2"/>
      <c r="H84" s="176"/>
      <c r="I84" s="176"/>
      <c r="J84" s="176"/>
      <c r="K84" s="176"/>
      <c r="L84" s="176"/>
      <c r="M84" s="176"/>
      <c r="N84" s="176"/>
      <c r="O84" s="176"/>
      <c r="P84" s="176"/>
    </row>
    <row r="85" spans="1:16" ht="12.75" customHeight="1">
      <c r="A85" s="2"/>
      <c r="C85" s="2"/>
      <c r="D85" s="2"/>
      <c r="E85" s="2"/>
      <c r="F85" s="2"/>
      <c r="G85" s="2"/>
      <c r="H85" s="176"/>
      <c r="I85" s="176"/>
      <c r="J85" s="176"/>
      <c r="K85" s="176"/>
      <c r="L85" s="176"/>
      <c r="M85" s="176"/>
      <c r="N85" s="176"/>
      <c r="O85" s="176"/>
      <c r="P85" s="176"/>
    </row>
    <row r="86" spans="1:16" ht="12.75" customHeight="1">
      <c r="A86" s="2"/>
      <c r="C86" s="2"/>
      <c r="D86" s="2"/>
      <c r="E86" s="2"/>
      <c r="F86" s="2"/>
      <c r="G86" s="2"/>
      <c r="H86" s="176"/>
      <c r="I86" s="176"/>
      <c r="J86" s="176"/>
      <c r="K86" s="176"/>
      <c r="L86" s="176"/>
      <c r="M86" s="176"/>
      <c r="N86" s="176"/>
      <c r="O86" s="176"/>
      <c r="P86" s="176"/>
    </row>
    <row r="87" spans="1:16" ht="16.5" customHeight="1">
      <c r="A87" s="2"/>
      <c r="C87" s="2"/>
      <c r="D87" s="2"/>
      <c r="E87" s="2"/>
      <c r="F87" s="2"/>
      <c r="G87" s="2"/>
      <c r="H87" s="176"/>
      <c r="I87" s="176"/>
      <c r="J87" s="176"/>
      <c r="K87" s="176"/>
      <c r="L87" s="176"/>
      <c r="M87" s="176"/>
      <c r="N87" s="176"/>
      <c r="O87" s="176"/>
      <c r="P87" s="176"/>
    </row>
    <row r="88" spans="1:16" ht="16.5" customHeight="1">
      <c r="A88" s="2"/>
      <c r="C88" s="2"/>
      <c r="D88" s="2"/>
      <c r="E88" s="2"/>
      <c r="F88" s="2"/>
      <c r="G88" s="2"/>
      <c r="H88" s="176"/>
      <c r="I88" s="176"/>
      <c r="J88" s="176"/>
      <c r="K88" s="176"/>
      <c r="L88" s="176"/>
      <c r="M88" s="176"/>
      <c r="N88" s="176"/>
      <c r="O88" s="176"/>
      <c r="P88" s="176"/>
    </row>
    <row r="89" spans="1:16" ht="16.5" customHeight="1">
      <c r="A89" s="2"/>
      <c r="C89" s="2"/>
      <c r="D89" s="2"/>
      <c r="E89" s="2"/>
      <c r="F89" s="2"/>
      <c r="G89" s="2"/>
      <c r="H89" s="176"/>
      <c r="I89" s="176"/>
      <c r="J89" s="176"/>
      <c r="K89" s="176"/>
      <c r="L89" s="176"/>
      <c r="M89" s="176"/>
      <c r="N89" s="176"/>
      <c r="O89" s="176"/>
      <c r="P89" s="176"/>
    </row>
    <row r="90" spans="1:16" ht="16.5" customHeight="1">
      <c r="A90" s="2"/>
      <c r="C90" s="2"/>
      <c r="D90" s="2"/>
      <c r="E90" s="2"/>
      <c r="F90" s="2"/>
      <c r="G90" s="2"/>
      <c r="H90" s="176"/>
      <c r="I90" s="176"/>
      <c r="J90" s="176"/>
      <c r="K90" s="176"/>
      <c r="L90" s="176"/>
      <c r="M90" s="176"/>
      <c r="N90" s="176"/>
      <c r="O90" s="176"/>
      <c r="P90" s="176"/>
    </row>
    <row r="91" spans="1:16" ht="16.5" customHeight="1">
      <c r="A91" s="2"/>
      <c r="C91" s="2"/>
      <c r="D91" s="2"/>
      <c r="E91" s="2"/>
      <c r="F91" s="2"/>
      <c r="G91" s="2"/>
      <c r="H91" s="176"/>
      <c r="I91" s="176"/>
      <c r="J91" s="176"/>
      <c r="K91" s="176"/>
      <c r="L91" s="176"/>
      <c r="M91" s="176"/>
      <c r="N91" s="176"/>
      <c r="O91" s="176"/>
      <c r="P91" s="176"/>
    </row>
    <row r="92" spans="1:16" ht="16.5" customHeight="1">
      <c r="A92" s="2"/>
      <c r="C92" s="2"/>
      <c r="D92" s="2"/>
      <c r="E92" s="2"/>
      <c r="F92" s="2"/>
      <c r="G92" s="2"/>
      <c r="H92" s="176"/>
      <c r="I92" s="176"/>
      <c r="J92" s="176"/>
      <c r="K92" s="176"/>
      <c r="L92" s="176"/>
      <c r="M92" s="176"/>
      <c r="N92" s="176"/>
      <c r="O92" s="176"/>
      <c r="P92" s="176"/>
    </row>
    <row r="93" spans="1:16" ht="16.5" customHeight="1">
      <c r="A93" s="2"/>
      <c r="C93" s="2"/>
      <c r="D93" s="2"/>
      <c r="E93" s="2"/>
      <c r="F93" s="2"/>
      <c r="G93" s="2"/>
      <c r="H93" s="176"/>
      <c r="I93" s="176"/>
      <c r="J93" s="176"/>
      <c r="K93" s="176"/>
      <c r="L93" s="176"/>
      <c r="M93" s="176"/>
      <c r="N93" s="176"/>
      <c r="O93" s="176"/>
      <c r="P93" s="176"/>
    </row>
    <row r="94" spans="1:16" ht="16.5" customHeight="1">
      <c r="A94" s="2"/>
      <c r="C94" s="2"/>
      <c r="D94" s="2"/>
      <c r="E94" s="2"/>
      <c r="F94" s="2"/>
      <c r="G94" s="2"/>
      <c r="H94" s="176"/>
      <c r="I94" s="176"/>
      <c r="J94" s="176"/>
      <c r="K94" s="176"/>
      <c r="L94" s="176"/>
      <c r="M94" s="176"/>
      <c r="N94" s="176"/>
      <c r="O94" s="176"/>
      <c r="P94" s="176"/>
    </row>
    <row r="95" spans="1:16" ht="16.5" customHeight="1">
      <c r="A95" s="2"/>
      <c r="C95" s="2"/>
      <c r="D95" s="2"/>
      <c r="E95" s="2"/>
      <c r="F95" s="2"/>
      <c r="G95" s="2"/>
      <c r="H95" s="176"/>
      <c r="I95" s="176"/>
      <c r="J95" s="176"/>
      <c r="K95" s="176"/>
      <c r="L95" s="176"/>
      <c r="M95" s="176"/>
      <c r="N95" s="176"/>
      <c r="O95" s="176"/>
      <c r="P95" s="176"/>
    </row>
    <row r="96" spans="1:16" ht="16.5" customHeight="1">
      <c r="A96" s="2"/>
      <c r="C96" s="2"/>
      <c r="D96" s="2"/>
      <c r="E96" s="2"/>
      <c r="F96" s="2"/>
      <c r="G96" s="2"/>
      <c r="H96" s="176"/>
      <c r="I96" s="176"/>
      <c r="J96" s="176"/>
      <c r="K96" s="176"/>
      <c r="L96" s="176"/>
      <c r="M96" s="176"/>
      <c r="N96" s="176"/>
      <c r="O96" s="176"/>
      <c r="P96" s="176"/>
    </row>
    <row r="97" spans="1:16" ht="16.5" customHeight="1">
      <c r="A97" s="2"/>
      <c r="C97" s="2"/>
      <c r="D97" s="2"/>
      <c r="E97" s="2"/>
      <c r="F97" s="2"/>
      <c r="G97" s="2"/>
      <c r="H97" s="176"/>
      <c r="I97" s="176"/>
      <c r="J97" s="176"/>
      <c r="K97" s="176"/>
      <c r="L97" s="176"/>
      <c r="M97" s="176"/>
      <c r="N97" s="176"/>
      <c r="O97" s="176"/>
      <c r="P97" s="176"/>
    </row>
    <row r="98" spans="1:16" ht="16.5" customHeight="1">
      <c r="A98" s="2"/>
      <c r="C98" s="2"/>
      <c r="D98" s="2"/>
      <c r="E98" s="2"/>
      <c r="F98" s="2"/>
      <c r="G98" s="2"/>
      <c r="H98" s="176"/>
      <c r="I98" s="176"/>
      <c r="J98" s="176"/>
      <c r="K98" s="176"/>
      <c r="L98" s="176"/>
      <c r="M98" s="176"/>
      <c r="N98" s="176"/>
      <c r="O98" s="176"/>
      <c r="P98" s="176"/>
    </row>
    <row r="99" spans="1:16" ht="16.5" customHeight="1">
      <c r="A99" s="2"/>
      <c r="C99" s="2"/>
      <c r="D99" s="2"/>
      <c r="E99" s="2"/>
      <c r="F99" s="2"/>
      <c r="G99" s="2"/>
      <c r="H99" s="176"/>
      <c r="I99" s="176"/>
      <c r="J99" s="176"/>
      <c r="K99" s="176"/>
      <c r="L99" s="176"/>
      <c r="M99" s="176"/>
      <c r="N99" s="176"/>
      <c r="O99" s="176"/>
      <c r="P99" s="176"/>
    </row>
    <row r="100" spans="1:16" ht="16.5" customHeight="1">
      <c r="A100" s="2"/>
      <c r="C100" s="2"/>
      <c r="D100" s="2"/>
      <c r="E100" s="2"/>
      <c r="F100" s="2"/>
      <c r="G100" s="2"/>
      <c r="H100" s="176"/>
      <c r="I100" s="176"/>
      <c r="J100" s="176"/>
      <c r="K100" s="176"/>
      <c r="L100" s="176"/>
      <c r="M100" s="176"/>
      <c r="N100" s="176"/>
      <c r="O100" s="176"/>
      <c r="P100" s="176"/>
    </row>
    <row r="101" spans="1:16" ht="16.5" customHeight="1">
      <c r="A101" s="2"/>
      <c r="C101" s="2"/>
      <c r="D101" s="2"/>
      <c r="E101" s="2"/>
      <c r="F101" s="2"/>
      <c r="G101" s="2"/>
      <c r="H101" s="176"/>
      <c r="I101" s="176"/>
      <c r="J101" s="176"/>
      <c r="K101" s="176"/>
      <c r="L101" s="176"/>
      <c r="M101" s="176"/>
      <c r="N101" s="176"/>
      <c r="O101" s="176"/>
      <c r="P101" s="176"/>
    </row>
    <row r="102" spans="1:16" ht="16.5" customHeight="1">
      <c r="A102" s="2"/>
      <c r="C102" s="2"/>
      <c r="D102" s="2"/>
      <c r="E102" s="2"/>
      <c r="F102" s="2"/>
      <c r="G102" s="2"/>
      <c r="H102" s="176"/>
      <c r="I102" s="176"/>
      <c r="J102" s="176"/>
      <c r="K102" s="176"/>
      <c r="L102" s="176"/>
      <c r="M102" s="176"/>
      <c r="N102" s="176"/>
      <c r="O102" s="176"/>
      <c r="P102" s="176"/>
    </row>
    <row r="103" spans="1:16" ht="16.5" customHeight="1">
      <c r="A103" s="2"/>
      <c r="C103" s="2"/>
      <c r="D103" s="2"/>
      <c r="E103" s="2"/>
      <c r="F103" s="2"/>
      <c r="G103" s="2"/>
      <c r="H103" s="176"/>
      <c r="I103" s="176"/>
      <c r="J103" s="176"/>
      <c r="K103" s="176"/>
      <c r="L103" s="176"/>
      <c r="M103" s="176"/>
      <c r="N103" s="176"/>
      <c r="O103" s="176"/>
      <c r="P103" s="176"/>
    </row>
    <row r="104" spans="1:16" ht="16.5" customHeight="1">
      <c r="A104" s="2"/>
      <c r="C104" s="2"/>
      <c r="D104" s="2"/>
      <c r="E104" s="2"/>
      <c r="F104" s="2"/>
      <c r="G104" s="2"/>
      <c r="H104" s="176"/>
      <c r="I104" s="176"/>
      <c r="J104" s="176"/>
      <c r="K104" s="176"/>
      <c r="L104" s="176"/>
      <c r="M104" s="176"/>
      <c r="N104" s="176"/>
      <c r="O104" s="176"/>
      <c r="P104" s="176"/>
    </row>
    <row r="105" spans="1:16" ht="16.5" customHeight="1">
      <c r="A105" s="2"/>
      <c r="C105" s="2"/>
      <c r="D105" s="2"/>
      <c r="E105" s="2"/>
      <c r="F105" s="2"/>
      <c r="G105" s="2"/>
      <c r="H105" s="176"/>
      <c r="I105" s="176"/>
      <c r="J105" s="176"/>
      <c r="K105" s="176"/>
      <c r="L105" s="176"/>
      <c r="M105" s="176"/>
      <c r="N105" s="176"/>
      <c r="O105" s="176"/>
      <c r="P105" s="176"/>
    </row>
    <row r="106" spans="1:16" ht="16.5" customHeight="1">
      <c r="A106" s="2"/>
      <c r="C106" s="2"/>
      <c r="D106" s="2"/>
      <c r="E106" s="2"/>
      <c r="F106" s="2"/>
      <c r="G106" s="2"/>
      <c r="H106" s="176"/>
      <c r="I106" s="176"/>
      <c r="J106" s="176"/>
      <c r="K106" s="176"/>
      <c r="L106" s="176"/>
      <c r="M106" s="176"/>
      <c r="N106" s="176"/>
      <c r="O106" s="176"/>
      <c r="P106" s="176"/>
    </row>
    <row r="107" spans="1:16" ht="16.5" customHeight="1">
      <c r="A107" s="2"/>
      <c r="C107" s="2"/>
      <c r="D107" s="2"/>
      <c r="E107" s="2"/>
      <c r="F107" s="2"/>
      <c r="G107" s="2"/>
      <c r="H107" s="176"/>
      <c r="I107" s="176"/>
      <c r="J107" s="176"/>
      <c r="K107" s="176"/>
      <c r="L107" s="176"/>
      <c r="M107" s="176"/>
      <c r="N107" s="176"/>
      <c r="O107" s="176"/>
      <c r="P107" s="176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</sheetData>
  <sheetProtection selectLockedCells="1" selectUnlockedCells="1"/>
  <mergeCells count="24">
    <mergeCell ref="B64:C64"/>
    <mergeCell ref="B66:C66"/>
    <mergeCell ref="B67:C67"/>
    <mergeCell ref="B68:C68"/>
    <mergeCell ref="B69:C69"/>
    <mergeCell ref="B70:C70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A56:D56"/>
    <mergeCell ref="B57:C57"/>
    <mergeCell ref="A1:D1"/>
    <mergeCell ref="B47:C47"/>
    <mergeCell ref="B48:C48"/>
    <mergeCell ref="B49:C49"/>
    <mergeCell ref="B50:C50"/>
    <mergeCell ref="B51:C51"/>
  </mergeCells>
  <printOptions horizontalCentered="1" verticalCentered="1"/>
  <pageMargins left="0" right="0" top="0.3937007874015748" bottom="0.2755905511811024" header="0.5118110236220472" footer="0.5118110236220472"/>
  <pageSetup fitToHeight="2" horizontalDpi="600" verticalDpi="600" orientation="portrait" paperSize="9" r:id="rId1"/>
  <rowBreaks count="1" manualBreakCount="1"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02"/>
  <sheetViews>
    <sheetView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33.125" style="81" customWidth="1"/>
    <col min="2" max="2" width="18.50390625" style="82" customWidth="1"/>
    <col min="3" max="3" width="18.00390625" style="83" customWidth="1"/>
    <col min="4" max="4" width="22.125" style="170" customWidth="1"/>
    <col min="5" max="16384" width="9.00390625" style="81" customWidth="1"/>
  </cols>
  <sheetData>
    <row r="1" spans="1:4" s="85" customFormat="1" ht="16.5" customHeight="1">
      <c r="A1" s="213" t="s">
        <v>147</v>
      </c>
      <c r="B1" s="213"/>
      <c r="C1" s="213"/>
      <c r="D1" s="213"/>
    </row>
    <row r="2" spans="1:4" s="85" customFormat="1" ht="16.5" customHeight="1">
      <c r="A2" s="84"/>
      <c r="B2" s="84"/>
      <c r="C2" s="84"/>
      <c r="D2" s="152"/>
    </row>
    <row r="3" spans="1:4" s="85" customFormat="1" ht="18.75" customHeight="1">
      <c r="A3" s="86" t="s">
        <v>0</v>
      </c>
      <c r="B3" s="214"/>
      <c r="C3" s="214"/>
      <c r="D3" s="214"/>
    </row>
    <row r="4" spans="1:4" s="85" customFormat="1" ht="15.75" customHeight="1">
      <c r="A4" s="25"/>
      <c r="B4" s="25"/>
      <c r="C4" s="26"/>
      <c r="D4" s="153"/>
    </row>
    <row r="5" spans="1:4" s="85" customFormat="1" ht="21" customHeight="1">
      <c r="A5" s="88" t="s">
        <v>148</v>
      </c>
      <c r="B5" s="89" t="s">
        <v>92</v>
      </c>
      <c r="C5" s="89" t="s">
        <v>93</v>
      </c>
      <c r="D5" s="154" t="s">
        <v>94</v>
      </c>
    </row>
    <row r="6" spans="1:4" s="92" customFormat="1" ht="14.25" customHeight="1">
      <c r="A6" s="90" t="s">
        <v>141</v>
      </c>
      <c r="B6" s="91">
        <v>1400</v>
      </c>
      <c r="C6" s="91">
        <v>1400</v>
      </c>
      <c r="D6" s="155"/>
    </row>
    <row r="7" spans="1:4" s="92" customFormat="1" ht="14.25" customHeight="1">
      <c r="A7" s="90" t="s">
        <v>95</v>
      </c>
      <c r="B7" s="91">
        <v>1855</v>
      </c>
      <c r="C7" s="91">
        <v>1855</v>
      </c>
      <c r="D7" s="155"/>
    </row>
    <row r="8" spans="1:4" s="92" customFormat="1" ht="14.25" customHeight="1">
      <c r="A8" s="93" t="s">
        <v>96</v>
      </c>
      <c r="B8" s="91">
        <v>8400</v>
      </c>
      <c r="C8" s="91">
        <v>8400</v>
      </c>
      <c r="D8" s="155"/>
    </row>
    <row r="9" spans="1:4" s="92" customFormat="1" ht="14.25" customHeight="1">
      <c r="A9" s="94" t="s">
        <v>97</v>
      </c>
      <c r="B9" s="95">
        <v>3650</v>
      </c>
      <c r="C9" s="95">
        <v>3650</v>
      </c>
      <c r="D9" s="156"/>
    </row>
    <row r="10" spans="1:4" s="92" customFormat="1" ht="14.25" customHeight="1">
      <c r="A10" s="96" t="s">
        <v>98</v>
      </c>
      <c r="B10" s="91">
        <v>3010</v>
      </c>
      <c r="C10" s="91">
        <v>3010</v>
      </c>
      <c r="D10" s="157"/>
    </row>
    <row r="11" spans="1:4" s="92" customFormat="1" ht="14.25" customHeight="1">
      <c r="A11" s="151" t="s">
        <v>136</v>
      </c>
      <c r="B11" s="91">
        <v>2410</v>
      </c>
      <c r="C11" s="91">
        <v>2410</v>
      </c>
      <c r="D11" s="157"/>
    </row>
    <row r="12" spans="1:4" s="92" customFormat="1" ht="14.25" customHeight="1">
      <c r="A12" s="96" t="s">
        <v>99</v>
      </c>
      <c r="B12" s="91">
        <v>2791</v>
      </c>
      <c r="C12" s="91">
        <v>2791</v>
      </c>
      <c r="D12" s="157"/>
    </row>
    <row r="13" spans="1:4" s="92" customFormat="1" ht="14.25" customHeight="1">
      <c r="A13" s="96" t="s">
        <v>100</v>
      </c>
      <c r="B13" s="91">
        <v>2466</v>
      </c>
      <c r="C13" s="91">
        <v>2466</v>
      </c>
      <c r="D13" s="157"/>
    </row>
    <row r="14" spans="1:4" s="92" customFormat="1" ht="14.25" customHeight="1">
      <c r="A14" s="96" t="s">
        <v>101</v>
      </c>
      <c r="B14" s="91">
        <v>4200</v>
      </c>
      <c r="C14" s="91">
        <v>5500</v>
      </c>
      <c r="D14" s="157"/>
    </row>
    <row r="15" spans="1:4" ht="14.25" customHeight="1">
      <c r="A15" s="97" t="s">
        <v>102</v>
      </c>
      <c r="B15" s="98">
        <f>SUM(B6:B14)</f>
        <v>30182</v>
      </c>
      <c r="C15" s="98">
        <f>SUM(C6:C14)</f>
        <v>31482</v>
      </c>
      <c r="D15" s="157"/>
    </row>
    <row r="16" spans="1:4" ht="14.25" customHeight="1">
      <c r="A16" s="99" t="s">
        <v>103</v>
      </c>
      <c r="B16" s="100">
        <v>33470</v>
      </c>
      <c r="C16" s="100">
        <v>33740</v>
      </c>
      <c r="D16" s="157" t="s">
        <v>152</v>
      </c>
    </row>
    <row r="17" spans="1:4" ht="14.25" customHeight="1">
      <c r="A17" s="99" t="s">
        <v>104</v>
      </c>
      <c r="B17" s="100">
        <v>22520</v>
      </c>
      <c r="C17" s="100">
        <v>22920</v>
      </c>
      <c r="D17" s="157"/>
    </row>
    <row r="18" spans="1:4" s="85" customFormat="1" ht="14.25" customHeight="1">
      <c r="A18" s="101" t="s">
        <v>105</v>
      </c>
      <c r="B18" s="102">
        <v>4520</v>
      </c>
      <c r="C18" s="102">
        <v>4520</v>
      </c>
      <c r="D18" s="157" t="s">
        <v>154</v>
      </c>
    </row>
    <row r="19" spans="1:4" s="85" customFormat="1" ht="14.25" customHeight="1">
      <c r="A19" s="103" t="s">
        <v>106</v>
      </c>
      <c r="B19" s="104"/>
      <c r="C19" s="104"/>
      <c r="D19" s="158"/>
    </row>
    <row r="20" spans="1:4" s="85" customFormat="1" ht="14.25" customHeight="1">
      <c r="A20" s="103" t="s">
        <v>149</v>
      </c>
      <c r="B20" s="104">
        <v>4110</v>
      </c>
      <c r="C20" s="104">
        <v>0</v>
      </c>
      <c r="D20" s="158" t="s">
        <v>151</v>
      </c>
    </row>
    <row r="21" spans="1:4" s="85" customFormat="1" ht="14.25" customHeight="1">
      <c r="A21" s="103" t="s">
        <v>150</v>
      </c>
      <c r="B21" s="104">
        <v>8500</v>
      </c>
      <c r="C21" s="104">
        <v>8500</v>
      </c>
      <c r="D21" s="158" t="s">
        <v>153</v>
      </c>
    </row>
    <row r="22" spans="1:4" s="85" customFormat="1" ht="14.25" customHeight="1">
      <c r="A22" s="105" t="s">
        <v>107</v>
      </c>
      <c r="B22" s="106">
        <f>SUM(B15:B19)</f>
        <v>90692</v>
      </c>
      <c r="C22" s="106">
        <f>SUM(C15:C19)</f>
        <v>92662</v>
      </c>
      <c r="D22" s="159"/>
    </row>
    <row r="23" spans="1:4" s="85" customFormat="1" ht="14.25" customHeight="1">
      <c r="A23" s="107"/>
      <c r="B23" s="108"/>
      <c r="C23" s="108"/>
      <c r="D23" s="160"/>
    </row>
    <row r="24" spans="1:4" s="87" customFormat="1" ht="31.5" customHeight="1">
      <c r="A24" s="109" t="s">
        <v>108</v>
      </c>
      <c r="B24" s="215"/>
      <c r="C24" s="215"/>
      <c r="D24" s="215"/>
    </row>
    <row r="25" spans="1:4" s="87" customFormat="1" ht="31.5" customHeight="1">
      <c r="A25" s="109" t="s">
        <v>109</v>
      </c>
      <c r="B25" s="216" t="s">
        <v>118</v>
      </c>
      <c r="C25" s="216"/>
      <c r="D25" s="216"/>
    </row>
    <row r="26" spans="1:4" s="85" customFormat="1" ht="31.5" customHeight="1">
      <c r="A26" s="109" t="s">
        <v>110</v>
      </c>
      <c r="B26" s="110" t="s">
        <v>119</v>
      </c>
      <c r="C26" s="110"/>
      <c r="D26" s="161"/>
    </row>
    <row r="27" spans="1:4" s="85" customFormat="1" ht="31.5" customHeight="1">
      <c r="A27" s="109" t="s">
        <v>111</v>
      </c>
      <c r="B27" s="150">
        <v>605847308</v>
      </c>
      <c r="C27" s="111"/>
      <c r="D27" s="162"/>
    </row>
    <row r="28" spans="1:4" s="85" customFormat="1" ht="31.5" customHeight="1">
      <c r="A28" s="109" t="s">
        <v>112</v>
      </c>
      <c r="B28" s="217"/>
      <c r="C28" s="217"/>
      <c r="D28" s="217"/>
    </row>
    <row r="29" spans="1:4" s="85" customFormat="1" ht="31.5" customHeight="1">
      <c r="A29" s="112"/>
      <c r="B29" s="210"/>
      <c r="C29" s="210"/>
      <c r="D29" s="210"/>
    </row>
    <row r="30" spans="1:4" s="85" customFormat="1" ht="31.5" customHeight="1">
      <c r="A30" s="112"/>
      <c r="B30" s="210"/>
      <c r="C30" s="210"/>
      <c r="D30" s="210"/>
    </row>
    <row r="31" spans="1:4" s="116" customFormat="1" ht="50.25" customHeight="1">
      <c r="A31" s="113"/>
      <c r="B31" s="114"/>
      <c r="C31" s="115"/>
      <c r="D31" s="163"/>
    </row>
    <row r="32" spans="1:4" s="120" customFormat="1" ht="15.75" customHeight="1">
      <c r="A32" s="115" t="s">
        <v>113</v>
      </c>
      <c r="B32" s="117"/>
      <c r="C32" s="118"/>
      <c r="D32" s="164"/>
    </row>
    <row r="33" spans="1:4" s="120" customFormat="1" ht="15.75" customHeight="1">
      <c r="A33" s="121"/>
      <c r="B33" s="122" t="s">
        <v>114</v>
      </c>
      <c r="C33" s="123"/>
      <c r="D33" s="165" t="s">
        <v>115</v>
      </c>
    </row>
    <row r="34" spans="1:4" s="120" customFormat="1" ht="56.25" customHeight="1">
      <c r="A34" s="124"/>
      <c r="B34" s="123"/>
      <c r="C34" s="123"/>
      <c r="D34" s="166"/>
    </row>
    <row r="35" spans="1:4" s="120" customFormat="1" ht="15.75" customHeight="1">
      <c r="A35" s="125" t="s">
        <v>116</v>
      </c>
      <c r="B35" s="123"/>
      <c r="C35" s="119"/>
      <c r="D35" s="166"/>
    </row>
    <row r="36" spans="1:8" s="127" customFormat="1" ht="15.75" customHeight="1">
      <c r="A36" s="122"/>
      <c r="B36" s="123"/>
      <c r="C36" s="126" t="s">
        <v>117</v>
      </c>
      <c r="D36" s="163"/>
      <c r="E36" s="120"/>
      <c r="F36" s="120"/>
      <c r="G36" s="120"/>
      <c r="H36" s="120"/>
    </row>
    <row r="37" spans="1:4" ht="16.5" customHeight="1">
      <c r="A37" s="211"/>
      <c r="B37" s="211"/>
      <c r="C37" s="211"/>
      <c r="D37" s="167"/>
    </row>
    <row r="38" spans="1:4" ht="16.5" customHeight="1">
      <c r="A38" s="212"/>
      <c r="B38" s="212"/>
      <c r="C38" s="212"/>
      <c r="D38" s="168"/>
    </row>
    <row r="39" spans="1:4" ht="16.5" customHeight="1">
      <c r="A39" s="128"/>
      <c r="B39" s="128"/>
      <c r="C39" s="128"/>
      <c r="D39" s="169"/>
    </row>
    <row r="40" spans="1:4" ht="20.25" customHeight="1">
      <c r="A40" s="128"/>
      <c r="B40" s="128"/>
      <c r="C40" s="128"/>
      <c r="D40" s="169"/>
    </row>
    <row r="41" spans="1:4" ht="16.5" customHeight="1">
      <c r="A41" s="128"/>
      <c r="B41" s="128"/>
      <c r="C41" s="128"/>
      <c r="D41" s="169"/>
    </row>
    <row r="42" spans="1:4" ht="16.5" customHeight="1">
      <c r="A42" s="128"/>
      <c r="B42" s="128"/>
      <c r="C42" s="128"/>
      <c r="D42" s="169"/>
    </row>
    <row r="43" spans="1:4" ht="16.5" customHeight="1">
      <c r="A43" s="128"/>
      <c r="B43" s="128"/>
      <c r="C43" s="128"/>
      <c r="D43" s="169"/>
    </row>
    <row r="44" spans="1:4" ht="16.5" customHeight="1">
      <c r="A44" s="128"/>
      <c r="B44" s="128"/>
      <c r="C44" s="128"/>
      <c r="D44" s="169"/>
    </row>
    <row r="45" spans="1:4" ht="16.5" customHeight="1">
      <c r="A45" s="128"/>
      <c r="B45" s="128"/>
      <c r="C45" s="128"/>
      <c r="D45" s="169"/>
    </row>
    <row r="46" spans="1:4" ht="16.5" customHeight="1">
      <c r="A46" s="128"/>
      <c r="B46" s="128"/>
      <c r="C46" s="128"/>
      <c r="D46" s="169"/>
    </row>
    <row r="47" spans="1:4" ht="16.5" customHeight="1">
      <c r="A47" s="128"/>
      <c r="B47" s="128"/>
      <c r="C47" s="128"/>
      <c r="D47" s="169"/>
    </row>
    <row r="48" spans="1:4" ht="16.5" customHeight="1">
      <c r="A48" s="128"/>
      <c r="B48" s="128"/>
      <c r="C48" s="128"/>
      <c r="D48" s="169"/>
    </row>
    <row r="49" spans="2:3" ht="16.5" customHeight="1">
      <c r="B49" s="81"/>
      <c r="C49" s="81"/>
    </row>
    <row r="50" spans="2:3" ht="16.5" customHeight="1">
      <c r="B50" s="81"/>
      <c r="C50" s="81"/>
    </row>
    <row r="51" spans="2:3" ht="16.5" customHeight="1">
      <c r="B51" s="81"/>
      <c r="C51" s="81"/>
    </row>
    <row r="52" spans="2:3" ht="16.5" customHeight="1">
      <c r="B52" s="81"/>
      <c r="C52" s="81"/>
    </row>
    <row r="53" spans="2:3" ht="16.5" customHeight="1">
      <c r="B53" s="81"/>
      <c r="C53" s="81"/>
    </row>
    <row r="54" spans="2:3" ht="16.5" customHeight="1">
      <c r="B54" s="81"/>
      <c r="C54" s="81"/>
    </row>
    <row r="55" spans="2:3" ht="16.5" customHeight="1">
      <c r="B55" s="81"/>
      <c r="C55" s="81"/>
    </row>
    <row r="56" spans="2:3" ht="12.75" customHeight="1">
      <c r="B56" s="81"/>
      <c r="C56" s="81"/>
    </row>
    <row r="57" spans="2:3" ht="12.75" customHeight="1">
      <c r="B57" s="81"/>
      <c r="C57" s="81"/>
    </row>
    <row r="58" spans="2:3" ht="12.75" customHeight="1">
      <c r="B58" s="81"/>
      <c r="C58" s="81"/>
    </row>
    <row r="59" spans="2:3" ht="12.75" customHeight="1">
      <c r="B59" s="81"/>
      <c r="C59" s="81"/>
    </row>
    <row r="60" spans="2:3" ht="12.75" customHeight="1">
      <c r="B60" s="81"/>
      <c r="C60" s="81"/>
    </row>
    <row r="61" spans="2:3" ht="12.75" customHeight="1">
      <c r="B61" s="81"/>
      <c r="C61" s="81"/>
    </row>
    <row r="62" spans="2:3" ht="59.25" customHeight="1">
      <c r="B62" s="81"/>
      <c r="C62" s="81"/>
    </row>
    <row r="63" spans="2:3" ht="36" customHeight="1">
      <c r="B63" s="81"/>
      <c r="C63" s="81"/>
    </row>
    <row r="64" spans="2:3" ht="12.75" customHeight="1">
      <c r="B64" s="81"/>
      <c r="C64" s="81"/>
    </row>
    <row r="65" spans="2:3" ht="12.75" customHeight="1">
      <c r="B65" s="81"/>
      <c r="C65" s="81"/>
    </row>
    <row r="66" spans="2:3" ht="12.75" customHeight="1">
      <c r="B66" s="81"/>
      <c r="C66" s="81"/>
    </row>
    <row r="67" spans="2:3" ht="16.5" customHeight="1">
      <c r="B67" s="81"/>
      <c r="C67" s="81"/>
    </row>
    <row r="68" spans="2:3" ht="16.5" customHeight="1">
      <c r="B68" s="81"/>
      <c r="C68" s="81"/>
    </row>
    <row r="69" spans="2:3" ht="12.75" customHeight="1">
      <c r="B69" s="81"/>
      <c r="C69" s="81"/>
    </row>
    <row r="70" spans="2:3" ht="12.75" customHeight="1">
      <c r="B70" s="81"/>
      <c r="C70" s="81"/>
    </row>
    <row r="71" spans="2:3" ht="12.75" customHeight="1">
      <c r="B71" s="81"/>
      <c r="C71" s="81"/>
    </row>
    <row r="72" spans="2:3" ht="12.75" customHeight="1">
      <c r="B72" s="81"/>
      <c r="C72" s="81"/>
    </row>
    <row r="73" spans="2:3" ht="12.75" customHeight="1">
      <c r="B73" s="81"/>
      <c r="C73" s="81"/>
    </row>
    <row r="74" spans="2:3" ht="12.75" customHeight="1">
      <c r="B74" s="81"/>
      <c r="C74" s="81"/>
    </row>
    <row r="75" spans="2:3" ht="12.75" customHeight="1">
      <c r="B75" s="81"/>
      <c r="C75" s="81"/>
    </row>
    <row r="76" spans="2:3" ht="12.75" customHeight="1">
      <c r="B76" s="81"/>
      <c r="C76" s="81"/>
    </row>
    <row r="77" spans="2:3" ht="12.75" customHeight="1">
      <c r="B77" s="81"/>
      <c r="C77" s="81"/>
    </row>
    <row r="78" spans="2:3" ht="12.75" customHeight="1">
      <c r="B78" s="81"/>
      <c r="C78" s="81"/>
    </row>
    <row r="79" spans="2:3" ht="12.75" customHeight="1">
      <c r="B79" s="81"/>
      <c r="C79" s="81"/>
    </row>
    <row r="80" spans="2:3" ht="12.75" customHeight="1">
      <c r="B80" s="81"/>
      <c r="C80" s="81"/>
    </row>
    <row r="81" spans="2:3" ht="12.75" customHeight="1">
      <c r="B81" s="81"/>
      <c r="C81" s="81"/>
    </row>
    <row r="82" spans="2:3" ht="16.5" customHeight="1">
      <c r="B82" s="81"/>
      <c r="C82" s="81"/>
    </row>
    <row r="83" spans="2:3" ht="16.5" customHeight="1">
      <c r="B83" s="81"/>
      <c r="C83" s="81"/>
    </row>
    <row r="84" spans="2:3" ht="16.5" customHeight="1">
      <c r="B84" s="81"/>
      <c r="C84" s="81"/>
    </row>
    <row r="85" spans="2:3" ht="16.5" customHeight="1">
      <c r="B85" s="81"/>
      <c r="C85" s="81"/>
    </row>
    <row r="86" spans="2:3" ht="16.5" customHeight="1">
      <c r="B86" s="81"/>
      <c r="C86" s="81"/>
    </row>
    <row r="87" spans="2:3" ht="16.5" customHeight="1">
      <c r="B87" s="81"/>
      <c r="C87" s="81"/>
    </row>
    <row r="88" spans="2:3" ht="16.5" customHeight="1">
      <c r="B88" s="81"/>
      <c r="C88" s="81"/>
    </row>
    <row r="89" spans="2:3" ht="16.5" customHeight="1">
      <c r="B89" s="81"/>
      <c r="C89" s="81"/>
    </row>
    <row r="90" spans="2:3" ht="16.5" customHeight="1">
      <c r="B90" s="81"/>
      <c r="C90" s="81"/>
    </row>
    <row r="91" spans="2:3" ht="16.5" customHeight="1">
      <c r="B91" s="81"/>
      <c r="C91" s="81"/>
    </row>
    <row r="92" spans="2:3" ht="16.5" customHeight="1">
      <c r="B92" s="81"/>
      <c r="C92" s="81"/>
    </row>
    <row r="93" spans="2:3" ht="16.5" customHeight="1">
      <c r="B93" s="81"/>
      <c r="C93" s="81"/>
    </row>
    <row r="94" spans="2:3" ht="16.5" customHeight="1">
      <c r="B94" s="81"/>
      <c r="C94" s="81"/>
    </row>
    <row r="95" spans="2:3" ht="16.5" customHeight="1">
      <c r="B95" s="81"/>
      <c r="C95" s="81"/>
    </row>
    <row r="96" spans="2:3" ht="16.5" customHeight="1">
      <c r="B96" s="81"/>
      <c r="C96" s="81"/>
    </row>
    <row r="97" spans="2:3" ht="16.5" customHeight="1">
      <c r="B97" s="81"/>
      <c r="C97" s="81"/>
    </row>
    <row r="98" spans="2:3" ht="16.5" customHeight="1">
      <c r="B98" s="81"/>
      <c r="C98" s="81"/>
    </row>
    <row r="99" spans="2:3" ht="16.5" customHeight="1">
      <c r="B99" s="81"/>
      <c r="C99" s="81"/>
    </row>
    <row r="100" spans="2:3" ht="16.5" customHeight="1">
      <c r="B100" s="81"/>
      <c r="C100" s="81"/>
    </row>
    <row r="101" spans="2:3" ht="16.5" customHeight="1">
      <c r="B101" s="81"/>
      <c r="C101" s="81"/>
    </row>
    <row r="102" spans="2:3" ht="16.5" customHeight="1">
      <c r="B102" s="81"/>
      <c r="C102" s="81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</sheetData>
  <sheetProtection selectLockedCells="1" selectUnlockedCells="1"/>
  <mergeCells count="9">
    <mergeCell ref="B30:D30"/>
    <mergeCell ref="A37:C37"/>
    <mergeCell ref="A38:C38"/>
    <mergeCell ref="A1:D1"/>
    <mergeCell ref="B3:D3"/>
    <mergeCell ref="B24:D24"/>
    <mergeCell ref="B25:D25"/>
    <mergeCell ref="B28:D28"/>
    <mergeCell ref="B29:D29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Levá Marie</dc:creator>
  <cp:keywords/>
  <dc:description/>
  <cp:lastModifiedBy>martin fer</cp:lastModifiedBy>
  <cp:lastPrinted>2022-01-16T12:06:47Z</cp:lastPrinted>
  <dcterms:created xsi:type="dcterms:W3CDTF">2015-01-08T15:01:22Z</dcterms:created>
  <dcterms:modified xsi:type="dcterms:W3CDTF">2022-02-22T09:14:55Z</dcterms:modified>
  <cp:category/>
  <cp:version/>
  <cp:contentType/>
  <cp:contentStatus/>
</cp:coreProperties>
</file>